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ia Teresa\Dropbox (UT CAEM E3)\6 planes ut\PICCs\Quindio\Ultima version\Anexos\"/>
    </mc:Choice>
  </mc:AlternateContent>
  <bookViews>
    <workbookView xWindow="0" yWindow="0" windowWidth="15360" windowHeight="5235" firstSheet="7" activeTab="16"/>
  </bookViews>
  <sheets>
    <sheet name="M1" sheetId="1" state="hidden" r:id="rId1"/>
    <sheet name="M2" sheetId="2" state="hidden" r:id="rId2"/>
    <sheet name="M3" sheetId="3" r:id="rId3"/>
    <sheet name="M4" sheetId="4" r:id="rId4"/>
    <sheet name="M5" sheetId="5" state="hidden" r:id="rId5"/>
    <sheet name="M6" sheetId="6" r:id="rId6"/>
    <sheet name="M7" sheetId="7" r:id="rId7"/>
    <sheet name="M8" sheetId="8" r:id="rId8"/>
    <sheet name="M9" sheetId="9" r:id="rId9"/>
    <sheet name="M10" sheetId="10" r:id="rId10"/>
    <sheet name="M11" sheetId="11" r:id="rId11"/>
    <sheet name="M12" sheetId="12" r:id="rId12"/>
    <sheet name="M13" sheetId="13" r:id="rId13"/>
    <sheet name="M14" sheetId="14" state="hidden" r:id="rId14"/>
    <sheet name="M15" sheetId="15" r:id="rId15"/>
    <sheet name="M16" sheetId="16" r:id="rId16"/>
    <sheet name="M17" sheetId="17" r:id="rId17"/>
    <sheet name="M18" sheetId="18" r:id="rId18"/>
    <sheet name="M19" sheetId="19" r:id="rId19"/>
    <sheet name="M20" sheetId="20" r:id="rId20"/>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17" l="1"/>
  <c r="E11" i="17"/>
  <c r="C11" i="17"/>
  <c r="E7" i="17"/>
  <c r="D7" i="17"/>
  <c r="E12" i="11"/>
  <c r="F12" i="11"/>
  <c r="D12" i="11"/>
  <c r="D8" i="10"/>
  <c r="D6" i="10"/>
  <c r="D9" i="10"/>
  <c r="B10" i="7"/>
  <c r="B13" i="7"/>
  <c r="C10" i="7"/>
  <c r="C13" i="7"/>
  <c r="A13" i="7"/>
  <c r="C9" i="13"/>
  <c r="D9" i="13"/>
  <c r="C10" i="13"/>
  <c r="D10" i="13"/>
  <c r="B9" i="13"/>
  <c r="B10" i="13"/>
  <c r="C7" i="13"/>
  <c r="D7" i="13"/>
  <c r="B7" i="13"/>
  <c r="C11" i="3"/>
  <c r="D11" i="3"/>
  <c r="B11" i="3"/>
  <c r="C14" i="3"/>
  <c r="D14" i="3"/>
  <c r="B14" i="3"/>
  <c r="B7" i="3"/>
  <c r="C42" i="18"/>
  <c r="B42" i="18"/>
  <c r="D42" i="18"/>
  <c r="D66" i="18"/>
  <c r="D56" i="18"/>
  <c r="D67" i="18"/>
  <c r="D69" i="18"/>
  <c r="C66" i="18"/>
  <c r="C56" i="18"/>
  <c r="C67" i="18"/>
  <c r="C69" i="18"/>
  <c r="B66" i="18"/>
  <c r="B56" i="18"/>
  <c r="B67" i="18"/>
  <c r="B68" i="18"/>
  <c r="B69" i="18"/>
  <c r="C50" i="18"/>
  <c r="C36" i="18"/>
  <c r="J10" i="6"/>
  <c r="H16" i="6"/>
  <c r="G16" i="6"/>
  <c r="I10" i="6"/>
  <c r="H11" i="9"/>
  <c r="C9" i="6"/>
  <c r="C10" i="6"/>
  <c r="F16" i="6"/>
  <c r="G10" i="6"/>
  <c r="H10" i="6"/>
  <c r="G13" i="6"/>
  <c r="H13" i="6"/>
  <c r="I14" i="9"/>
  <c r="H14" i="9"/>
  <c r="G14" i="9"/>
  <c r="E10" i="9"/>
  <c r="E7" i="9"/>
  <c r="E8" i="9"/>
  <c r="E9" i="9"/>
  <c r="E6" i="9"/>
  <c r="I11" i="9"/>
  <c r="K7" i="9"/>
  <c r="J7" i="9"/>
  <c r="G11" i="9"/>
  <c r="D18" i="9"/>
  <c r="I9" i="8"/>
  <c r="J9" i="8"/>
  <c r="H9" i="8"/>
  <c r="J27" i="8"/>
  <c r="I27" i="8"/>
  <c r="H27" i="8"/>
  <c r="F6" i="8"/>
  <c r="F50" i="8"/>
  <c r="F51" i="8"/>
  <c r="F52" i="8"/>
  <c r="D53" i="8"/>
  <c r="F53" i="8"/>
  <c r="F54" i="8"/>
  <c r="F55" i="8"/>
  <c r="F33" i="8"/>
  <c r="F34" i="8"/>
  <c r="F35" i="8"/>
  <c r="F36" i="8"/>
  <c r="F37" i="8"/>
  <c r="F38" i="8"/>
  <c r="F39" i="8"/>
  <c r="F40" i="8"/>
  <c r="F41" i="8"/>
  <c r="F42" i="8"/>
  <c r="F44" i="8"/>
  <c r="F45" i="8"/>
  <c r="F7" i="8"/>
  <c r="F8" i="8"/>
  <c r="F9" i="8"/>
  <c r="F10" i="8"/>
  <c r="E11" i="8"/>
  <c r="F11" i="8"/>
  <c r="D12" i="8"/>
  <c r="E12" i="8"/>
  <c r="F12" i="8"/>
  <c r="F13" i="8"/>
  <c r="E14" i="8"/>
  <c r="F14" i="8"/>
  <c r="F15" i="8"/>
  <c r="F17" i="8"/>
  <c r="F18" i="8"/>
  <c r="F19" i="8"/>
  <c r="F20" i="8"/>
  <c r="F21" i="8"/>
  <c r="F22" i="8"/>
  <c r="D23" i="8"/>
  <c r="F23" i="8"/>
  <c r="D24" i="8"/>
  <c r="F24" i="8"/>
  <c r="D25" i="8"/>
  <c r="F25" i="8"/>
  <c r="F26" i="8"/>
  <c r="F27" i="8"/>
  <c r="M8" i="19"/>
  <c r="Q8" i="19"/>
  <c r="U8" i="19"/>
  <c r="M9" i="19"/>
  <c r="U9" i="19"/>
  <c r="U10" i="19"/>
  <c r="U11" i="19"/>
  <c r="U12" i="19"/>
  <c r="U13" i="19"/>
  <c r="U14" i="19"/>
  <c r="H8" i="19"/>
  <c r="H9" i="19"/>
  <c r="H10" i="19"/>
  <c r="H11" i="19"/>
  <c r="H12" i="19"/>
  <c r="H13" i="19"/>
  <c r="A14" i="19"/>
  <c r="W14" i="19"/>
</calcChain>
</file>

<file path=xl/sharedStrings.xml><?xml version="1.0" encoding="utf-8"?>
<sst xmlns="http://schemas.openxmlformats.org/spreadsheetml/2006/main" count="364" uniqueCount="226">
  <si>
    <t>Quindío Te Quiero Limpio</t>
  </si>
  <si>
    <t>Movilidad Sostenible en Armenia</t>
  </si>
  <si>
    <t>Eco-conducción en el transporte de pasajeros y de carga</t>
  </si>
  <si>
    <t>El costo de capacitar a los conductores en eco-conducción es de US $100/conductor nuevo capacitado según estudios del TNO (Dutch Organization for Applied Scientific Research) (TNO Science and Industry, 2006) (Schroten, van Essen, Warringa, Bolech, Smokers, &amp; Fraga, 2012).  El costo de capacitar a conductores existentes, como resultado de un programa departamental puede ser inferior a un euro por persona, este costos haría parte del programa de capacitación y fortalecimiento que asumen las entidades en el departamento del Quindío  El costo de monitorear la medida, se calcula en EUR $0,10 por conductor capacitado.</t>
  </si>
  <si>
    <t>Estufas eficientes de leña en comunidades rurales del Quindío</t>
  </si>
  <si>
    <t xml:space="preserve">Se estima que una estufa de leña tiene un costo promedio de 1.608.125 incluyendo materiales y mano de obra.  alojamiento y alimentación del maestro principal.  Durante la construcción, se debe realizar  el trabajo técnico de acompañamiento, supervisión y seguimiento a la implementación lo cual presenta costos administrativos asociados.  
El valor del establecimiento de 1 ha de banco dendroenergetico o banco leñero es de 4.116.575 y del mantenimiento silvicultural (2 por año, que consiste en plateo fertilizacion y resiembra) por valor de 2.196.256 por hectarea
El valor total del proyecto a corto plazo se estima en 2.133.331.153 que serán financiados por el FONAM y la CRQ. (CORPORACION AUTONOMA REGIONAL DEL QUINDIO - CRQ, Proyecto : Implementación de una estrategia para la reducción de emisiones de Gases Efecto Invernadero - GEI en la cuenca del río La Vieja en el Departamento del Quindío, 2016. 66p) 
</t>
  </si>
  <si>
    <t>Manejo y tratamiento de aguas residuales domésticas con sistemas aeróbios</t>
  </si>
  <si>
    <t>US$320.000.000 (Horizonte 2027) según información de la FICHA DE PROYECTO 16. Modelo de Ocupación del Territorio</t>
  </si>
  <si>
    <t>Iluminación eficiente y renovable</t>
  </si>
  <si>
    <t>Para el corto plazo se estimaron los costos de cambio de las 3893 luminarias con una capacida igual o superior a 250 W ( lampara de vapor de sodio a presion), por lamparas con tecnologia LED, incluyendo la infraestructura necesaria, mano de obra y mantenimiento, el costo a corto plazo es de 9.087.186.759, lo que permitira disminir entre el 13% - 16% del consumo mensual de energia electrica, que es aproximadamente 1.200.000 kWh soo para la ciudad de Armenia.</t>
  </si>
  <si>
    <t>Vivienda Sostenible y resiliente</t>
  </si>
  <si>
    <t>Café Climáticamente Sostenible</t>
  </si>
  <si>
    <t>Ganadería Sostenible</t>
  </si>
  <si>
    <t>Sistemas silvopastoriles de baja densidad. (100 Ha). Este arreglo se adelantará mediante la siembra de las plántulas dispersas en el potrero. Siendo un total de 25 árboles por Hectárea, que para el cálculo de los costos de establecimiento y mantenimiento se asumió una distancia de siembra de 20 mts X 20 mts, pero en la práctica se distribuirán aleatoriamente en los lotes de acuerdo a los resultados de la planificación predial adelantada anteriormente.   El costo de implementación de 100Ha se estima en: 3.249.524
Sistemas silvopastoriles densidad media. (100 Ha). Este arreglo se adelantará mediante la siembra de las plántulas dispersas en el potrero o establecimiento de fajas por donde el ganado ingrese y ramonee. Siendo un total de 300 árboles por Hectárea de acuerdo a los resultados de la planificación predial adelantada anteriormente. El costo de implementación se estima en 38.994.286
Cercas Vivas. (100 Ha). Arreglo forestal que se dará mediante el establecimiento de dos fajas con distancia de siembra de 4 mts, para un total de 200 plántulas por hectárea. Costo estimado: 51.992.381
Sistemas silvopastoriles Alta densidad. (100 Ha). Este arreglo se adelantará mediante la técnica de banco forrajero, mediante la siembra de estacas de especies herbáceas. Siendo un total de 5.600 estacas por Hectárea. Costo estimado de 119.021.651</t>
  </si>
  <si>
    <t>Turismo Sostenible</t>
  </si>
  <si>
    <t>Producción orgánica compatible con el clima del futuro</t>
  </si>
  <si>
    <t xml:space="preserve">El costo principal proviene de la compra de materiales, particularmente de la gallinaza, y de la mano de obra para el proceso. Se asume la renta de maquinaria para labranza mínima en una hectárea de cultivo. Se consideran tres días para capacitación sobre cambios en las prácticas de cultivo, manejo de nutrientes y plagas.
Se estima que el costo por hectárea es de USD 1630 </t>
  </si>
  <si>
    <t>Producción para el consumo local</t>
  </si>
  <si>
    <t>Se calculan los costos para acondicionar y sembrar un huerto diversi  cado de 42 m2. Los principales insumos son tierra fértil, almácigos, un sistema simple de riego, abonos orgánicos y herbicidas ecológicos. También se consideran cuatro días de capacitación para su correcta implementación.
Se calcula que cada huerta familiar de 42m2 tiene un costo de USD1565</t>
  </si>
  <si>
    <t xml:space="preserve"> Mecanismos de incentivos a la conservacion</t>
  </si>
  <si>
    <t xml:space="preserve">Recuperación de la ruta de la palma de cera </t>
  </si>
  <si>
    <t xml:space="preserve">Sistemas Agroforestales - SAF, como alternativa de producción sostenible en el departamento del Quindío  </t>
  </si>
  <si>
    <t>Se presentan los costos para el establecimiento de un sistema agroforestal, cuyos insumos principales son las plantas, semillas y árboles; la producción y aplicación de abonos orgánicos y pesticidas ecológicos; la mano de obra para la siembra de cultivos y trasplante de árboles, y la compra e instalación de la cerca eléctrica para proteger el área productiva. Se asumen cuatro días de capacitación para aprender a establecer sinergias positivas entre los elementos del sistema.
Se estima un costo de USD 2175 por 1 Ha con sistemas agroforestales</t>
  </si>
  <si>
    <t>Sistema de Alertas Tempranas</t>
  </si>
  <si>
    <t xml:space="preserve">Estimativos relacionados con la inversión a  4 años  para la cuenca del Río La Vieja en condición de riesgo por amenaza de avenida torrencial con cuatro puntos instrumentados en rio correlacionado con estación meteorológica en área de influencia. La inversión que se necesitaría realizar al primer año esta relacionada con la adquisición del equipo de hardware para el monitoreo de variables hidrometereólogicas ( estaciones meteorológicas  7 parámetros mas nivel y pluviómetro en rio)  punto instrumentado 42. 000.000 multiplicado por cuatro por los 12 municipios  = $ 1.688.000.000
Comunicación masiva ( emisora, sirenas para 12 municipios: 500.000.000)
Salas de monitoreo y control para 12 municipios: 83.000.000
Servicios de soporte técnico y capacitación:   96.900.000
</t>
  </si>
  <si>
    <t>Aprovechamiento de aguas lluvía y escorrentía</t>
  </si>
  <si>
    <t>Cálculo para un reservorio superficial de 500 m3, asumiendo uso de materiales locales y un horizonte impermeable. Lo principales gastos surgen de la compra de malla ciclónica y piedra, de los análisis de suelo, escurrimiento y precipitación, así como de la renta de maquinaria. La mano de obra para construir las obras adicionales también tiene un costo significativo. Se considera la compra de plantas para retener el suelo circundante. Se contemplan cinco días de mantenimiento anual y tres días de capacitación.
Valor estimado para reservorio de agua de lluvia de 500 m3: 4590</t>
  </si>
  <si>
    <t>Vías Adaptadas</t>
  </si>
  <si>
    <t>* Analisis de riesgo 400.000.000 que incluye  un equipo de 4 profesionales realizando el analisis de riesgo para la red vial departamental,  entrega de resultados y capacitación para el manejo de la información en un sistema SIG.      
Nota.  La implementaciòn de las medidas de mediano y largo plazo dependerán de las soluciones que deban adoptarse para la adaptaciòn de los sistemas de acueducto.  Se estiman que la implementación de algunas medidas blandas pueden calcularse en un promedio de 4.000.000 millones de pesos pr tramos entre 20 y 30 kilometros</t>
  </si>
  <si>
    <t>Salud Ambiental para el Quindío</t>
  </si>
  <si>
    <t>Uso Eficiente del Recurso Hidrico</t>
  </si>
  <si>
    <r>
      <t xml:space="preserve">para una reformulación de planes de uso eficiente y ahorro de agua se estima una cifra promedio las costos pueden ir desde 40.000.000 millones hasta 200.000.000  esta ultima en un promedio de 20.000 hab por municipio.
</t>
    </r>
    <r>
      <rPr>
        <sz val="8"/>
        <rFont val="Tw Cen MT"/>
        <family val="2"/>
      </rPr>
      <t>*1 Los datos sobre otro tipo de mecanismos no es posible costearlos a nivel general pues depende del tipo de medida especifica a ser implementada
*2 Costo anual para un proyecto  con 10 beneficiarios $60.000.000 incluyendo capacitación y con la concurrencia de recursos de la CRC, Municipios y Departamento)
*3 Los datos sobre otro tipo de mecanismos no es posible costearlos a nivel general pues depende del tipo de medida especifica a ser implementada</t>
    </r>
    <r>
      <rPr>
        <sz val="11"/>
        <rFont val="Tw Cen MT"/>
        <family val="2"/>
      </rPr>
      <t xml:space="preserve">
</t>
    </r>
  </si>
  <si>
    <t>No.</t>
  </si>
  <si>
    <t>ITEM</t>
  </si>
  <si>
    <t>TOTAL</t>
  </si>
  <si>
    <t>Talleres</t>
  </si>
  <si>
    <t>mes</t>
  </si>
  <si>
    <t>sesión</t>
  </si>
  <si>
    <t>Salud Ambiental y Cambio Climático</t>
  </si>
  <si>
    <t>2 profesionales para el análisis de riesgo en salud por cambio climático (1 especialista en salud, otro en cambio climático)</t>
  </si>
  <si>
    <t>SECRETARIA DE SALUD DEPARTAMENTAL + municipios</t>
  </si>
  <si>
    <t>Profesional / mes</t>
  </si>
  <si>
    <t>Salarios Sector Salud</t>
  </si>
  <si>
    <t>Asistir técnicamente a municipios para  la adopción de la Política Integral de Salud Ambiental - PISA</t>
  </si>
  <si>
    <t>Tambo: Por la Salud que Queremos</t>
  </si>
  <si>
    <t>Asistente para la recolección de datos</t>
  </si>
  <si>
    <t>Asistente/mes</t>
  </si>
  <si>
    <t>Gestión integrada de zonosis de interés en salud pública</t>
  </si>
  <si>
    <t>Viáticos y transporte para el análisis de riesgo</t>
  </si>
  <si>
    <t>Modelación GIS (establecimiento línea base y escenarios futuros)</t>
  </si>
  <si>
    <t>modelación</t>
  </si>
  <si>
    <t>CDKN- análisis de riesgo de salud Quito (2015)</t>
  </si>
  <si>
    <t>Socialización resultados análisis de riesgo</t>
  </si>
  <si>
    <t>se realizan 3 reuniones de socialización en 3 localizaciones diferentes del departamento</t>
  </si>
  <si>
    <t>2 profesionales para la coordinación del Plan de Adaptación en Salud (salud y cambio climático)</t>
  </si>
  <si>
    <t>Salarios del sector Salud</t>
  </si>
  <si>
    <t>SISTEMA</t>
  </si>
  <si>
    <t>No DE PLÁNTULAS / Ha</t>
  </si>
  <si>
    <t>VALOR PROTECCIÓN INDIVIDUAL / PLÁNTULA</t>
  </si>
  <si>
    <t>VALOR PROTECCIÓN INDIVIDUAL / Ha</t>
  </si>
  <si>
    <t>Sistema Silvopastoril baja densidad</t>
  </si>
  <si>
    <t>Sistema Silvopastoril densidad media</t>
  </si>
  <si>
    <t>Cercas Vivas</t>
  </si>
  <si>
    <t>Sistema Silvopastoril alta densidad</t>
  </si>
  <si>
    <t>Proyecto CRQ para el FONAM</t>
  </si>
  <si>
    <t>COMPONENTE</t>
  </si>
  <si>
    <t>UNIDAD DE MEDIDA</t>
  </si>
  <si>
    <t>CANTIDAD</t>
  </si>
  <si>
    <t>VALOR PROYECTO</t>
  </si>
  <si>
    <t>SISTEMAS FORESTALES</t>
  </si>
  <si>
    <t>Hectárea</t>
  </si>
  <si>
    <t>Banco Dendroenergético</t>
  </si>
  <si>
    <t>Aislamiento</t>
  </si>
  <si>
    <t>SUBTOTAL SISTEMAS FORESTALES</t>
  </si>
  <si>
    <t>ESTUFAS</t>
  </si>
  <si>
    <t xml:space="preserve">Estufa </t>
  </si>
  <si>
    <t xml:space="preserve">Unidad  </t>
  </si>
  <si>
    <t>SUBTOTAL ESTUFAS</t>
  </si>
  <si>
    <t>GESTIÓN</t>
  </si>
  <si>
    <t>Equipo de Trabajo</t>
  </si>
  <si>
    <t>Mes</t>
  </si>
  <si>
    <t>Taller</t>
  </si>
  <si>
    <t>Giras Técnicas</t>
  </si>
  <si>
    <t>Gira</t>
  </si>
  <si>
    <t>Publicaciones</t>
  </si>
  <si>
    <t>Temática</t>
  </si>
  <si>
    <t>SUBTOTAL GESTIÓN</t>
  </si>
  <si>
    <t>SISTEMAS AGROFORESTALES CAFÉ</t>
  </si>
  <si>
    <t>DETALLE</t>
  </si>
  <si>
    <t>UNIDAD</t>
  </si>
  <si>
    <t>CANT</t>
  </si>
  <si>
    <t>V/R UNIT</t>
  </si>
  <si>
    <t>V/R TOTAL</t>
  </si>
  <si>
    <t>INSUMOS</t>
  </si>
  <si>
    <t>Colino (siembra en triángulo 1,5 x 1,3 m)</t>
  </si>
  <si>
    <t>colinos</t>
  </si>
  <si>
    <t>Nogal (48) y Guamo (24)</t>
  </si>
  <si>
    <t>Unidad</t>
  </si>
  <si>
    <t>Vetiver (cada 7 surcos de café; maximo 8 surcos/ha; 5 colinos/m, es decir cada 20 cm))</t>
  </si>
  <si>
    <t>Abono orgánico</t>
  </si>
  <si>
    <t>Kg</t>
  </si>
  <si>
    <t>Incoculante de micorrizas tipo arbuscular x 50 Kg.</t>
  </si>
  <si>
    <t>Bulto</t>
  </si>
  <si>
    <t>Enmienda (cal dolomita)</t>
  </si>
  <si>
    <t>Fertilizantes para nutrición integrada</t>
  </si>
  <si>
    <t>Otros: Herramientas</t>
  </si>
  <si>
    <t>global</t>
  </si>
  <si>
    <t>Transporte de insumos</t>
  </si>
  <si>
    <t>Subtotal insumos</t>
  </si>
  <si>
    <t>MANO DE OBRA</t>
  </si>
  <si>
    <t>Rocería</t>
  </si>
  <si>
    <t>guadaña</t>
  </si>
  <si>
    <t>Amontonamiento de material grueso</t>
  </si>
  <si>
    <t>jorn</t>
  </si>
  <si>
    <t>Aplicación de herbicida</t>
  </si>
  <si>
    <t xml:space="preserve">Trazado, ahoyado </t>
  </si>
  <si>
    <t>siembra</t>
  </si>
  <si>
    <t>Siembra de vetiver</t>
  </si>
  <si>
    <t>Deschuponada y desbejucada</t>
  </si>
  <si>
    <t>Deshierbas</t>
  </si>
  <si>
    <t>Fertilización</t>
  </si>
  <si>
    <t>Subtotal mano de obra</t>
  </si>
  <si>
    <t>Total insumos y mano obra tecnificado</t>
  </si>
  <si>
    <t>Fuente: Costos basados en los de Comité de Cafetero para 1 ha de café agroforestal</t>
  </si>
  <si>
    <t>SISTEMA TRATAMIENTO AGUAS  MIELES</t>
  </si>
  <si>
    <t>GL</t>
  </si>
  <si>
    <t>SISTEMA AGUAS MIELES</t>
  </si>
  <si>
    <t>RECURSO</t>
  </si>
  <si>
    <t>UN</t>
  </si>
  <si>
    <t>V/UNIT</t>
  </si>
  <si>
    <t>V/TOTAL</t>
  </si>
  <si>
    <t>TANQUE FILTRO ANAEROBIO CAPACIDAD 2000 LTS</t>
  </si>
  <si>
    <t>TUBO SANITARIO DE 4"</t>
  </si>
  <si>
    <t>TE DE 4"</t>
  </si>
  <si>
    <t>TAPON ROSCADO DE 4"</t>
  </si>
  <si>
    <t>CODO 4"</t>
  </si>
  <si>
    <t>SILICONA</t>
  </si>
  <si>
    <t>UNIONES DE 4"</t>
  </si>
  <si>
    <t>SOLDADURA PVC, 1/4</t>
  </si>
  <si>
    <t>ROSETONES</t>
  </si>
  <si>
    <t>MANO DE OBRA AA</t>
  </si>
  <si>
    <t>HC</t>
  </si>
  <si>
    <t>Subtotal Sistema de aguas Mieles</t>
  </si>
  <si>
    <t>Equipo técnico</t>
  </si>
  <si>
    <t xml:space="preserve">DESCRIPCION </t>
  </si>
  <si>
    <t xml:space="preserve">VR UNITARIO </t>
  </si>
  <si>
    <t>VR TOTAL</t>
  </si>
  <si>
    <t>Coordinador</t>
  </si>
  <si>
    <t xml:space="preserve">Profesional Ing Agronomo </t>
  </si>
  <si>
    <t>Profesional Experto BPA</t>
  </si>
  <si>
    <t>Técnicos de campo (5)</t>
  </si>
  <si>
    <t xml:space="preserve">Talleres de formacion </t>
  </si>
  <si>
    <t xml:space="preserve">TOTAL </t>
  </si>
  <si>
    <t>Metas Ha</t>
  </si>
  <si>
    <t>2016-2019</t>
  </si>
  <si>
    <t>2020-2023</t>
  </si>
  <si>
    <t>2023-2030</t>
  </si>
  <si>
    <t>Costos</t>
  </si>
  <si>
    <t>Fuente: CRQ</t>
  </si>
  <si>
    <t>Corto Plazo</t>
  </si>
  <si>
    <t>VALOR / Ha</t>
  </si>
  <si>
    <t>Costos Publicos</t>
  </si>
  <si>
    <t>Costos Privados</t>
  </si>
  <si>
    <t>VALOR Unitario</t>
  </si>
  <si>
    <t>Lámparas, insumos y materiales instalación y pruebas</t>
  </si>
  <si>
    <t>Metas Luminarias</t>
  </si>
  <si>
    <t>Costos de adaptación al cambio climático</t>
  </si>
  <si>
    <t>Tipo medida: Adaptación de vías secundarias</t>
  </si>
  <si>
    <t>Datos Básicos de la calculadora:</t>
  </si>
  <si>
    <t xml:space="preserve">Fuente datos: </t>
  </si>
  <si>
    <t>Nordic Investment Fund and Asian Development Bank</t>
  </si>
  <si>
    <t xml:space="preserve">Option 1: </t>
  </si>
  <si>
    <t>Carretera rural que está en construcción, que se adapta para resistir precipitaciones de lluvia intensas</t>
  </si>
  <si>
    <t>Option 2</t>
  </si>
  <si>
    <t>Carretera rural que está en construcción, que se adapta con especificaciones más altas para resistir precipitaciones de lluvia intensas</t>
  </si>
  <si>
    <t>Option 3:</t>
  </si>
  <si>
    <t>Carretera ya construida, que se adapta para resistir precipitaciones de lluvia intensas</t>
  </si>
  <si>
    <t>Option 4:</t>
  </si>
  <si>
    <t>Carretera que está en fase de diseño y se le incorporan todas las especificaciones para adaptación al cambio climático</t>
  </si>
  <si>
    <t>1. Kilómetros de vías secundarias existentes adaptadas y costo</t>
  </si>
  <si>
    <t>Variables del cálculo</t>
  </si>
  <si>
    <t>Tasa de Cambio US/$COL</t>
  </si>
  <si>
    <t>Costo $ US Dólar/Km adaptado</t>
  </si>
  <si>
    <t>Costo $ COl/Km adaptado</t>
  </si>
  <si>
    <t>Revisar Kilómetros en cada departamento ya construídos</t>
  </si>
  <si>
    <t>Costo Total Kilómetros Adaptados de Carreteras construídas</t>
  </si>
  <si>
    <t>Responsable</t>
  </si>
  <si>
    <t>Mediano Plazo</t>
  </si>
  <si>
    <t>Largo Plazo</t>
  </si>
  <si>
    <t>Kilómetros</t>
  </si>
  <si>
    <t>Costo Total</t>
  </si>
  <si>
    <t>Público</t>
  </si>
  <si>
    <t>Nota: Tomar los kilómetros más vulnerables en el corto y mediano plazo, según los diagnósticos del plan vial, el plan de gestión de riesgos</t>
  </si>
  <si>
    <t>2. Kilómetros de vías secundarias nuevas construídas con diseños que incluyen medidas adaptativas</t>
  </si>
  <si>
    <t>Revisar Kilómetros en cada departamento</t>
  </si>
  <si>
    <t>Costo Total Kilómetros Adaptados de Carreteras nuevas</t>
  </si>
  <si>
    <t>3.  Estudio Vulnerabilidad de Vías Atlántico</t>
  </si>
  <si>
    <t>Fuente: Cotización 4D Elements Consultores</t>
  </si>
  <si>
    <t xml:space="preserve">Valor estudio COL $: </t>
  </si>
  <si>
    <t>4. TOTAL En Atlántico</t>
  </si>
  <si>
    <t>1. Vias Existentes</t>
  </si>
  <si>
    <t>2. Vias nuevas 
adaptadas desde diseño</t>
  </si>
  <si>
    <t>3. Estudio Vulnerabilidad</t>
  </si>
  <si>
    <t>Público Gobernación</t>
  </si>
  <si>
    <t>Metas Conductores</t>
  </si>
  <si>
    <t>TRM USD</t>
  </si>
  <si>
    <t>TRM EURO</t>
  </si>
  <si>
    <t>Hectáreas/Costo</t>
  </si>
  <si>
    <t>Corto</t>
  </si>
  <si>
    <t xml:space="preserve">Mediano </t>
  </si>
  <si>
    <t>Meta Hectáreas</t>
  </si>
  <si>
    <t>Costo/Hectárea
 (establecimiento+año dos)</t>
  </si>
  <si>
    <t>2. Costo Equipo 
acompañamiento y gestión</t>
  </si>
  <si>
    <t>TOTAL (1+2)</t>
  </si>
  <si>
    <t>3. Administración</t>
  </si>
  <si>
    <t>Implementación</t>
  </si>
  <si>
    <t>mejoramiento de vivienda rural</t>
  </si>
  <si>
    <t>Metas Viviendas Nuevas</t>
  </si>
  <si>
    <t>vivienda rural nueva con consideraciones de cambio climàtico</t>
  </si>
  <si>
    <t>DNP- Ministerio de Agricultura
http://viva.org.co</t>
  </si>
  <si>
    <t>Costo equipo técnico para apoyo de proceso de certificación en turismo sostenible</t>
  </si>
  <si>
    <t>Numero de profesionales</t>
  </si>
  <si>
    <t>Valor unitario</t>
  </si>
  <si>
    <t>Total</t>
  </si>
  <si>
    <t>Costos administrativos y de campo</t>
  </si>
  <si>
    <t>Costos certificacion turismo sostenible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</si>
</sst>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_(* \(#,##0\);_(* &quot;-&quot;_);_(@_)"/>
    <numFmt numFmtId="44" formatCode="_(&quot;$&quot;\ * #,##0.00_);_(&quot;$&quot;\ * \(#,##0.00\);_(&quot;$&quot;\ * &quot;-&quot;??_);_(@_)"/>
    <numFmt numFmtId="43" formatCode="_(* #,##0.00_);_(* \(#,##0.00\);_(* &quot;-&quot;??_);_(@_)"/>
    <numFmt numFmtId="164" formatCode="&quot;$&quot;\ #,##0"/>
    <numFmt numFmtId="165" formatCode="_([$$-409]* #,##0.00_);_([$$-409]* \(#,##0.00\);_([$$-409]* &quot;-&quot;??_);_(@_)"/>
    <numFmt numFmtId="166" formatCode="#,###,"/>
    <numFmt numFmtId="167" formatCode="0.000"/>
    <numFmt numFmtId="168" formatCode="_-&quot;$&quot;* #,##0.00_-;\-&quot;$&quot;* #,##0.00_-;_-&quot;$&quot;* &quot;-&quot;??_-;_-@_-"/>
    <numFmt numFmtId="169" formatCode="_(* #,##0_);_(* \(#,##0\);_(* &quot;-&quot;??_);_(@_)"/>
    <numFmt numFmtId="170" formatCode="_-* #,##0_-;\-* #,##0_-;_-* &quot;-&quot;??_-;_-@_-"/>
    <numFmt numFmtId="171" formatCode="_-* #,##0.00000_-;\-* #,##0.00000_-;_-* &quot;-&quot;??_-;_-@_-"/>
    <numFmt numFmtId="172" formatCode="_-&quot;$&quot;* #,##0_-;\-&quot;$&quot;* #,##0_-;_-&quot;$&quot;* &quot;-&quot;??_-;_-@_-"/>
  </numFmts>
  <fonts count="23" x14ac:knownFonts="1">
    <font>
      <sz val="11"/>
      <color theme="1"/>
      <name val="Calibri"/>
      <family val="2"/>
      <scheme val="minor"/>
    </font>
    <font>
      <sz val="11"/>
      <color theme="1"/>
      <name val="Calibri"/>
      <family val="2"/>
      <scheme val="minor"/>
    </font>
    <font>
      <sz val="12"/>
      <color theme="1"/>
      <name val="Calibri"/>
      <family val="2"/>
      <scheme val="minor"/>
    </font>
    <font>
      <b/>
      <sz val="22"/>
      <color theme="0"/>
      <name val="Tw Cen MT"/>
      <family val="2"/>
    </font>
    <font>
      <sz val="10.5"/>
      <name val="Tw Cen MT"/>
      <family val="2"/>
    </font>
    <font>
      <sz val="10.5"/>
      <color rgb="FFFF0000"/>
      <name val="Tw Cen MT"/>
      <family val="2"/>
    </font>
    <font>
      <sz val="11"/>
      <name val="Tw Cen MT"/>
      <family val="2"/>
    </font>
    <font>
      <sz val="8"/>
      <name val="Tw Cen MT"/>
      <family val="2"/>
    </font>
    <font>
      <b/>
      <sz val="10"/>
      <color theme="1"/>
      <name val="Calibri"/>
      <family val="2"/>
      <scheme val="minor"/>
    </font>
    <font>
      <sz val="10"/>
      <color theme="1"/>
      <name val="Calibri"/>
      <family val="2"/>
      <scheme val="minor"/>
    </font>
    <font>
      <sz val="10"/>
      <color rgb="FF000000"/>
      <name val="Calibri"/>
      <family val="2"/>
      <scheme val="minor"/>
    </font>
    <font>
      <sz val="12"/>
      <color theme="1"/>
      <name val="Tw Cen MT"/>
      <family val="2"/>
    </font>
    <font>
      <sz val="11"/>
      <color rgb="FFFF0000"/>
      <name val="Calibri"/>
      <family val="2"/>
      <scheme val="minor"/>
    </font>
    <font>
      <b/>
      <sz val="11"/>
      <color theme="1"/>
      <name val="Calibri"/>
      <family val="2"/>
      <scheme val="minor"/>
    </font>
    <font>
      <sz val="11"/>
      <color theme="0"/>
      <name val="Calibri"/>
      <family val="2"/>
      <scheme val="minor"/>
    </font>
    <font>
      <b/>
      <sz val="10"/>
      <color rgb="FF000000"/>
      <name val="Cambria"/>
      <family val="1"/>
    </font>
    <font>
      <sz val="10"/>
      <color rgb="FF000000"/>
      <name val="Cambria"/>
      <family val="1"/>
    </font>
    <font>
      <sz val="10"/>
      <color theme="1"/>
      <name val="Cambria"/>
      <family val="1"/>
    </font>
    <font>
      <b/>
      <sz val="10"/>
      <color theme="1"/>
      <name val="Arial"/>
      <family val="2"/>
    </font>
    <font>
      <b/>
      <sz val="10"/>
      <name val="Arial"/>
      <family val="2"/>
    </font>
    <font>
      <sz val="10"/>
      <name val="Arial"/>
      <family val="2"/>
    </font>
    <font>
      <sz val="10"/>
      <color theme="1"/>
      <name val="Arial"/>
      <family val="2"/>
    </font>
    <font>
      <b/>
      <sz val="11"/>
      <color rgb="FFFF0000"/>
      <name val="Calibri"/>
      <family val="2"/>
      <scheme val="minor"/>
    </font>
  </fonts>
  <fills count="11">
    <fill>
      <patternFill patternType="none"/>
    </fill>
    <fill>
      <patternFill patternType="gray125"/>
    </fill>
    <fill>
      <patternFill patternType="solid">
        <fgColor theme="6"/>
        <bgColor indexed="64"/>
      </patternFill>
    </fill>
    <fill>
      <patternFill patternType="solid">
        <fgColor theme="0"/>
        <bgColor indexed="64"/>
      </patternFill>
    </fill>
    <fill>
      <patternFill patternType="solid">
        <fgColor theme="4"/>
        <bgColor indexed="64"/>
      </patternFill>
    </fill>
    <fill>
      <patternFill patternType="solid">
        <fgColor rgb="FFFFFF00"/>
        <bgColor indexed="64"/>
      </patternFill>
    </fill>
    <fill>
      <patternFill patternType="solid">
        <fgColor rgb="FF92D050"/>
        <bgColor indexed="64"/>
      </patternFill>
    </fill>
    <fill>
      <patternFill patternType="solid">
        <fgColor rgb="FF92CDDC"/>
        <bgColor indexed="64"/>
      </patternFill>
    </fill>
    <fill>
      <patternFill patternType="solid">
        <fgColor rgb="FFFF9900"/>
        <bgColor indexed="64"/>
      </patternFill>
    </fill>
    <fill>
      <patternFill patternType="solid">
        <fgColor indexed="22"/>
        <bgColor indexed="64"/>
      </patternFill>
    </fill>
    <fill>
      <patternFill patternType="solid">
        <fgColor theme="3" tint="0.79998168889431442"/>
        <bgColor indexed="64"/>
      </patternFill>
    </fill>
  </fills>
  <borders count="3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style="thin">
        <color auto="1"/>
      </right>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thin">
        <color auto="1"/>
      </bottom>
      <diagonal/>
    </border>
  </borders>
  <cellStyleXfs count="7">
    <xf numFmtId="0" fontId="0" fillId="0" borderId="0"/>
    <xf numFmtId="41" fontId="1" fillId="0" borderId="0" applyFont="0" applyFill="0" applyBorder="0" applyAlignment="0" applyProtection="0"/>
    <xf numFmtId="0" fontId="2"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20" fillId="0" borderId="0"/>
  </cellStyleXfs>
  <cellXfs count="272">
    <xf numFmtId="0" fontId="0" fillId="0" borderId="0" xfId="0"/>
    <xf numFmtId="0" fontId="9" fillId="0" borderId="1" xfId="0" applyFont="1" applyBorder="1" applyAlignment="1">
      <alignment horizontal="center" vertical="center" wrapText="1"/>
    </xf>
    <xf numFmtId="164" fontId="10" fillId="0" borderId="1" xfId="0" applyNumberFormat="1" applyFont="1" applyBorder="1" applyAlignment="1">
      <alignment vertical="center" wrapText="1"/>
    </xf>
    <xf numFmtId="0" fontId="9" fillId="0" borderId="1" xfId="0" applyFont="1" applyBorder="1" applyAlignment="1">
      <alignment wrapText="1"/>
    </xf>
    <xf numFmtId="164" fontId="9" fillId="0" borderId="1" xfId="0" applyNumberFormat="1" applyFont="1" applyBorder="1" applyAlignment="1">
      <alignment wrapText="1"/>
    </xf>
    <xf numFmtId="0" fontId="9" fillId="0" borderId="0" xfId="0" applyFont="1" applyAlignment="1">
      <alignment wrapText="1"/>
    </xf>
    <xf numFmtId="9" fontId="9" fillId="0" borderId="0" xfId="0" applyNumberFormat="1" applyFont="1" applyAlignment="1">
      <alignment wrapText="1"/>
    </xf>
    <xf numFmtId="166" fontId="11" fillId="0" borderId="0" xfId="0" applyNumberFormat="1" applyFont="1"/>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8" xfId="0" applyFont="1" applyFill="1" applyBorder="1" applyAlignment="1">
      <alignment horizontal="center" vertical="center" wrapText="1"/>
    </xf>
    <xf numFmtId="166" fontId="11" fillId="0" borderId="9" xfId="0" applyNumberFormat="1" applyFont="1" applyBorder="1"/>
    <xf numFmtId="165" fontId="11" fillId="3" borderId="7" xfId="0" applyNumberFormat="1" applyFont="1" applyFill="1" applyBorder="1" applyAlignment="1">
      <alignment horizontal="center" vertical="center"/>
    </xf>
    <xf numFmtId="166" fontId="11" fillId="3" borderId="7" xfId="0" applyNumberFormat="1" applyFont="1" applyFill="1" applyBorder="1" applyAlignment="1">
      <alignment vertical="center" wrapText="1"/>
    </xf>
    <xf numFmtId="166" fontId="11" fillId="3" borderId="7" xfId="0" applyNumberFormat="1" applyFont="1" applyFill="1" applyBorder="1" applyAlignment="1">
      <alignment vertical="center"/>
    </xf>
    <xf numFmtId="165" fontId="11" fillId="3" borderId="1" xfId="0" applyNumberFormat="1" applyFont="1" applyFill="1" applyBorder="1" applyAlignment="1">
      <alignment horizontal="center" vertical="center"/>
    </xf>
    <xf numFmtId="166" fontId="11" fillId="3" borderId="1" xfId="0" applyNumberFormat="1" applyFont="1" applyFill="1" applyBorder="1" applyAlignment="1">
      <alignment vertical="center"/>
    </xf>
    <xf numFmtId="166" fontId="11" fillId="3" borderId="1" xfId="0" applyNumberFormat="1" applyFont="1" applyFill="1" applyBorder="1" applyAlignment="1">
      <alignment vertical="center" wrapText="1"/>
    </xf>
    <xf numFmtId="0" fontId="11" fillId="3" borderId="1" xfId="0" applyFont="1" applyFill="1" applyBorder="1" applyAlignment="1">
      <alignment vertical="center" wrapText="1"/>
    </xf>
    <xf numFmtId="165" fontId="11" fillId="3" borderId="8" xfId="0" applyNumberFormat="1" applyFont="1" applyFill="1" applyBorder="1" applyAlignment="1">
      <alignment horizontal="center" vertical="center"/>
    </xf>
    <xf numFmtId="0" fontId="11" fillId="3" borderId="8" xfId="0" applyFont="1" applyFill="1" applyBorder="1" applyAlignment="1">
      <alignment vertical="center" wrapText="1"/>
    </xf>
    <xf numFmtId="166" fontId="11" fillId="3" borderId="8" xfId="0" applyNumberFormat="1" applyFont="1" applyFill="1" applyBorder="1" applyAlignment="1">
      <alignment vertical="center"/>
    </xf>
    <xf numFmtId="0" fontId="11" fillId="0" borderId="0" xfId="0" applyFont="1"/>
    <xf numFmtId="165" fontId="11" fillId="0" borderId="0" xfId="0" applyNumberFormat="1" applyFont="1"/>
    <xf numFmtId="0" fontId="11" fillId="0" borderId="0" xfId="0" applyFont="1" applyAlignment="1">
      <alignment wrapText="1"/>
    </xf>
    <xf numFmtId="0" fontId="11" fillId="0" borderId="0" xfId="0" applyFont="1" applyAlignment="1">
      <alignment horizontal="center"/>
    </xf>
    <xf numFmtId="166" fontId="11" fillId="0" borderId="0" xfId="0" applyNumberFormat="1" applyFont="1" applyFill="1" applyAlignment="1">
      <alignment horizontal="left"/>
    </xf>
    <xf numFmtId="166" fontId="11" fillId="0" borderId="0" xfId="0" applyNumberFormat="1" applyFont="1" applyFill="1"/>
    <xf numFmtId="166" fontId="11" fillId="0" borderId="7" xfId="0" applyNumberFormat="1" applyFont="1" applyFill="1" applyBorder="1"/>
    <xf numFmtId="166" fontId="11" fillId="0" borderId="1" xfId="0" applyNumberFormat="1" applyFont="1" applyFill="1" applyBorder="1"/>
    <xf numFmtId="166" fontId="11" fillId="0" borderId="8" xfId="0" applyNumberFormat="1" applyFont="1" applyFill="1" applyBorder="1"/>
    <xf numFmtId="0" fontId="11" fillId="3" borderId="7" xfId="0" applyFont="1" applyFill="1" applyBorder="1" applyAlignment="1">
      <alignment vertical="center" wrapText="1"/>
    </xf>
    <xf numFmtId="0" fontId="11" fillId="3" borderId="7" xfId="0" applyFont="1" applyFill="1" applyBorder="1" applyAlignment="1">
      <alignment vertical="center"/>
    </xf>
    <xf numFmtId="0" fontId="11" fillId="0" borderId="7" xfId="0" applyFont="1" applyBorder="1" applyAlignment="1">
      <alignment horizontal="center"/>
    </xf>
    <xf numFmtId="166" fontId="11" fillId="0" borderId="7" xfId="0" applyNumberFormat="1" applyFont="1" applyBorder="1"/>
    <xf numFmtId="0" fontId="11" fillId="0" borderId="7" xfId="0" applyFont="1" applyBorder="1"/>
    <xf numFmtId="166" fontId="11" fillId="0" borderId="7" xfId="0" applyNumberFormat="1" applyFont="1" applyFill="1" applyBorder="1" applyAlignment="1">
      <alignment horizontal="left"/>
    </xf>
    <xf numFmtId="0" fontId="11" fillId="3" borderId="8" xfId="0" applyFont="1" applyFill="1" applyBorder="1" applyAlignment="1">
      <alignment vertical="center"/>
    </xf>
    <xf numFmtId="0" fontId="11" fillId="0" borderId="8" xfId="0" applyFont="1" applyBorder="1" applyAlignment="1">
      <alignment horizontal="center"/>
    </xf>
    <xf numFmtId="166" fontId="11" fillId="0" borderId="8" xfId="0" applyNumberFormat="1" applyFont="1" applyBorder="1"/>
    <xf numFmtId="0" fontId="11" fillId="0" borderId="8" xfId="0" applyFont="1" applyBorder="1"/>
    <xf numFmtId="166" fontId="11" fillId="0" borderId="8" xfId="0" applyNumberFormat="1" applyFont="1" applyFill="1" applyBorder="1" applyAlignment="1">
      <alignment horizontal="left"/>
    </xf>
    <xf numFmtId="166" fontId="11" fillId="3" borderId="7" xfId="1" applyNumberFormat="1" applyFont="1" applyFill="1" applyBorder="1" applyAlignment="1">
      <alignment vertical="center"/>
    </xf>
    <xf numFmtId="166" fontId="11" fillId="0" borderId="10" xfId="0" applyNumberFormat="1" applyFont="1" applyBorder="1"/>
    <xf numFmtId="0" fontId="11" fillId="3" borderId="1" xfId="0" applyFont="1" applyFill="1" applyBorder="1" applyAlignment="1">
      <alignment vertical="center"/>
    </xf>
    <xf numFmtId="0" fontId="11" fillId="0" borderId="1" xfId="0" applyFont="1" applyBorder="1" applyAlignment="1">
      <alignment horizontal="center"/>
    </xf>
    <xf numFmtId="166" fontId="11" fillId="0" borderId="1" xfId="0" applyNumberFormat="1" applyFont="1" applyBorder="1"/>
    <xf numFmtId="0" fontId="11" fillId="0" borderId="1" xfId="0" applyFont="1" applyBorder="1"/>
    <xf numFmtId="166" fontId="11" fillId="0" borderId="1" xfId="0" applyNumberFormat="1" applyFont="1" applyFill="1" applyBorder="1" applyAlignment="1">
      <alignment horizontal="left"/>
    </xf>
    <xf numFmtId="166" fontId="11" fillId="3" borderId="1" xfId="1" applyNumberFormat="1" applyFont="1" applyFill="1" applyBorder="1" applyAlignment="1">
      <alignment vertical="center"/>
    </xf>
    <xf numFmtId="166" fontId="11" fillId="0" borderId="11" xfId="0" applyNumberFormat="1" applyFont="1" applyBorder="1"/>
    <xf numFmtId="0" fontId="11" fillId="0" borderId="1" xfId="0" applyFont="1" applyBorder="1" applyAlignment="1">
      <alignment wrapText="1"/>
    </xf>
    <xf numFmtId="166" fontId="11" fillId="0" borderId="12" xfId="0" applyNumberFormat="1" applyFont="1" applyBorder="1"/>
    <xf numFmtId="0" fontId="8" fillId="0" borderId="0" xfId="0" applyFont="1" applyFill="1" applyBorder="1" applyAlignment="1">
      <alignment horizontal="center" vertical="center" wrapText="1"/>
    </xf>
    <xf numFmtId="164" fontId="10" fillId="0" borderId="0" xfId="0" applyNumberFormat="1" applyFont="1" applyFill="1" applyBorder="1" applyAlignment="1">
      <alignment vertical="center" wrapText="1"/>
    </xf>
    <xf numFmtId="0" fontId="9" fillId="0" borderId="0" xfId="0" applyFont="1" applyFill="1" applyBorder="1" applyAlignment="1">
      <alignment wrapText="1"/>
    </xf>
    <xf numFmtId="164" fontId="9" fillId="0" borderId="0" xfId="0" applyNumberFormat="1" applyFont="1" applyFill="1" applyBorder="1" applyAlignment="1">
      <alignment wrapText="1"/>
    </xf>
    <xf numFmtId="9" fontId="9" fillId="0" borderId="0" xfId="0" applyNumberFormat="1" applyFont="1" applyFill="1" applyBorder="1" applyAlignment="1">
      <alignment horizont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16" fillId="0" borderId="16" xfId="0" applyFont="1" applyBorder="1" applyAlignment="1">
      <alignment horizontal="justify" vertical="center" wrapText="1"/>
    </xf>
    <xf numFmtId="0" fontId="16" fillId="0" borderId="17" xfId="0" applyFont="1" applyBorder="1" applyAlignment="1">
      <alignment horizontal="center" vertical="center" wrapText="1"/>
    </xf>
    <xf numFmtId="3" fontId="16" fillId="0" borderId="17" xfId="0" applyNumberFormat="1" applyFont="1" applyBorder="1" applyAlignment="1">
      <alignment horizontal="center" vertical="center" wrapText="1"/>
    </xf>
    <xf numFmtId="0" fontId="17" fillId="0" borderId="16" xfId="0" applyFont="1" applyBorder="1" applyAlignment="1">
      <alignment vertical="center" wrapText="1"/>
    </xf>
    <xf numFmtId="0" fontId="15" fillId="6" borderId="14" xfId="0" applyFont="1" applyFill="1" applyBorder="1" applyAlignment="1">
      <alignment horizontal="center" vertical="center" wrapText="1"/>
    </xf>
    <xf numFmtId="0" fontId="15" fillId="6" borderId="15" xfId="0" applyFont="1" applyFill="1" applyBorder="1" applyAlignment="1">
      <alignment horizontal="center" vertical="center" wrapText="1"/>
    </xf>
    <xf numFmtId="0" fontId="16" fillId="0" borderId="20" xfId="0" applyFont="1" applyBorder="1" applyAlignment="1">
      <alignment horizontal="justify" vertical="center" wrapText="1"/>
    </xf>
    <xf numFmtId="0" fontId="16" fillId="0" borderId="21" xfId="0" applyFont="1" applyBorder="1" applyAlignment="1">
      <alignment horizontal="center" vertical="center" wrapText="1"/>
    </xf>
    <xf numFmtId="3" fontId="16" fillId="0" borderId="21" xfId="0" applyNumberFormat="1" applyFont="1" applyBorder="1" applyAlignment="1">
      <alignment horizontal="center" vertical="center" wrapText="1"/>
    </xf>
    <xf numFmtId="0" fontId="15" fillId="7" borderId="14" xfId="0" applyFont="1" applyFill="1" applyBorder="1" applyAlignment="1">
      <alignment horizontal="justify" vertical="center" wrapText="1"/>
    </xf>
    <xf numFmtId="0" fontId="15" fillId="7" borderId="15" xfId="0" applyFont="1" applyFill="1" applyBorder="1" applyAlignment="1">
      <alignment horizontal="center" vertical="center" wrapText="1"/>
    </xf>
    <xf numFmtId="3" fontId="15" fillId="7" borderId="15" xfId="0" applyNumberFormat="1" applyFont="1" applyFill="1" applyBorder="1" applyAlignment="1">
      <alignment horizontal="center" vertical="center" wrapText="1"/>
    </xf>
    <xf numFmtId="0" fontId="16" fillId="7" borderId="15" xfId="0" applyFont="1" applyFill="1" applyBorder="1" applyAlignment="1">
      <alignment horizontal="center" vertical="center" wrapText="1"/>
    </xf>
    <xf numFmtId="0" fontId="15" fillId="8" borderId="16" xfId="0" applyFont="1" applyFill="1" applyBorder="1" applyAlignment="1">
      <alignment horizontal="center" vertical="center" wrapText="1"/>
    </xf>
    <xf numFmtId="3" fontId="15" fillId="8" borderId="16" xfId="0" applyNumberFormat="1" applyFont="1" applyFill="1" applyBorder="1" applyAlignment="1">
      <alignment horizontal="center" vertical="center" wrapText="1"/>
    </xf>
    <xf numFmtId="0" fontId="0" fillId="3" borderId="0" xfId="0" applyFill="1"/>
    <xf numFmtId="3" fontId="0" fillId="3" borderId="0" xfId="0" applyNumberFormat="1" applyFill="1"/>
    <xf numFmtId="0" fontId="19" fillId="0" borderId="25" xfId="0" applyFont="1" applyFill="1" applyBorder="1" applyAlignment="1">
      <alignment horizontal="center" wrapText="1"/>
    </xf>
    <xf numFmtId="0" fontId="19" fillId="0" borderId="6" xfId="0" applyFont="1" applyFill="1" applyBorder="1" applyAlignment="1">
      <alignment horizontal="center"/>
    </xf>
    <xf numFmtId="3" fontId="19" fillId="0" borderId="6" xfId="0" applyNumberFormat="1" applyFont="1" applyFill="1" applyBorder="1" applyAlignment="1">
      <alignment horizontal="center"/>
    </xf>
    <xf numFmtId="3" fontId="19" fillId="0" borderId="26" xfId="0" applyNumberFormat="1" applyFont="1" applyFill="1" applyBorder="1" applyAlignment="1">
      <alignment horizontal="center"/>
    </xf>
    <xf numFmtId="0" fontId="19" fillId="0" borderId="27" xfId="0" applyFont="1" applyFill="1" applyBorder="1" applyAlignment="1">
      <alignment wrapText="1"/>
    </xf>
    <xf numFmtId="0" fontId="19" fillId="0" borderId="1" xfId="0" applyFont="1" applyFill="1" applyBorder="1" applyAlignment="1">
      <alignment horizontal="center"/>
    </xf>
    <xf numFmtId="3" fontId="19" fillId="0" borderId="1" xfId="0" applyNumberFormat="1" applyFont="1" applyFill="1" applyBorder="1"/>
    <xf numFmtId="3" fontId="19" fillId="0" borderId="11" xfId="0" applyNumberFormat="1" applyFont="1" applyFill="1" applyBorder="1"/>
    <xf numFmtId="0" fontId="20" fillId="0" borderId="27" xfId="0" applyFont="1" applyFill="1" applyBorder="1" applyAlignment="1">
      <alignment wrapText="1"/>
    </xf>
    <xf numFmtId="0" fontId="20" fillId="0" borderId="1" xfId="0" applyFont="1" applyFill="1" applyBorder="1" applyAlignment="1">
      <alignment horizontal="center"/>
    </xf>
    <xf numFmtId="3" fontId="20" fillId="0" borderId="1" xfId="0" applyNumberFormat="1" applyFont="1" applyFill="1" applyBorder="1" applyAlignment="1">
      <alignment horizontal="center"/>
    </xf>
    <xf numFmtId="3" fontId="20" fillId="0" borderId="1" xfId="0" applyNumberFormat="1" applyFont="1" applyFill="1" applyBorder="1"/>
    <xf numFmtId="3" fontId="20" fillId="0" borderId="11" xfId="0" applyNumberFormat="1" applyFont="1" applyFill="1" applyBorder="1"/>
    <xf numFmtId="0" fontId="20" fillId="0" borderId="1" xfId="0" applyFont="1" applyFill="1" applyBorder="1" applyAlignment="1">
      <alignment horizontal="center" vertical="center"/>
    </xf>
    <xf numFmtId="3" fontId="20" fillId="0" borderId="1" xfId="0" applyNumberFormat="1" applyFont="1" applyFill="1" applyBorder="1" applyAlignment="1">
      <alignment vertical="center"/>
    </xf>
    <xf numFmtId="3" fontId="20" fillId="0" borderId="11" xfId="0" applyNumberFormat="1" applyFont="1" applyFill="1" applyBorder="1" applyAlignment="1">
      <alignment vertical="center"/>
    </xf>
    <xf numFmtId="0" fontId="20" fillId="0" borderId="27" xfId="0" applyFont="1" applyFill="1" applyBorder="1" applyAlignment="1">
      <alignment horizontal="justify" vertical="center" wrapText="1"/>
    </xf>
    <xf numFmtId="3" fontId="20" fillId="0" borderId="1" xfId="0" applyNumberFormat="1" applyFont="1" applyFill="1" applyBorder="1" applyAlignment="1">
      <alignment horizontal="center" vertical="center"/>
    </xf>
    <xf numFmtId="0" fontId="20" fillId="3" borderId="27" xfId="0" applyFont="1" applyFill="1" applyBorder="1" applyAlignment="1">
      <alignment wrapText="1"/>
    </xf>
    <xf numFmtId="0" fontId="20" fillId="3" borderId="1" xfId="0" applyFont="1" applyFill="1" applyBorder="1" applyAlignment="1">
      <alignment horizontal="center" vertical="center"/>
    </xf>
    <xf numFmtId="3" fontId="20" fillId="3" borderId="1" xfId="0" applyNumberFormat="1" applyFont="1" applyFill="1" applyBorder="1" applyAlignment="1">
      <alignment horizontal="center"/>
    </xf>
    <xf numFmtId="3" fontId="20" fillId="3" borderId="1" xfId="0" applyNumberFormat="1" applyFont="1" applyFill="1" applyBorder="1" applyAlignment="1">
      <alignment vertical="center"/>
    </xf>
    <xf numFmtId="3" fontId="20" fillId="3" borderId="11" xfId="0" applyNumberFormat="1" applyFont="1" applyFill="1" applyBorder="1"/>
    <xf numFmtId="0" fontId="19" fillId="0" borderId="27" xfId="0" applyFont="1" applyFill="1" applyBorder="1" applyAlignment="1">
      <alignment horizontal="center" wrapText="1"/>
    </xf>
    <xf numFmtId="1" fontId="20" fillId="0" borderId="1" xfId="0" applyNumberFormat="1" applyFont="1" applyFill="1" applyBorder="1" applyAlignment="1">
      <alignment horizontal="center"/>
    </xf>
    <xf numFmtId="0" fontId="19" fillId="0" borderId="28" xfId="0" applyFont="1" applyFill="1" applyBorder="1" applyAlignment="1">
      <alignment horizontal="center" wrapText="1"/>
    </xf>
    <xf numFmtId="0" fontId="20" fillId="0" borderId="8" xfId="0" applyFont="1" applyFill="1" applyBorder="1" applyAlignment="1">
      <alignment horizontal="center"/>
    </xf>
    <xf numFmtId="3" fontId="20" fillId="0" borderId="8" xfId="0" applyNumberFormat="1" applyFont="1" applyFill="1" applyBorder="1"/>
    <xf numFmtId="3" fontId="19" fillId="0" borderId="12" xfId="0" applyNumberFormat="1" applyFont="1" applyFill="1" applyBorder="1"/>
    <xf numFmtId="0" fontId="20" fillId="0" borderId="0" xfId="0" applyFont="1" applyBorder="1" applyAlignment="1">
      <alignment horizontal="left"/>
    </xf>
    <xf numFmtId="0" fontId="21" fillId="0" borderId="0" xfId="0" applyFont="1"/>
    <xf numFmtId="0" fontId="20" fillId="0" borderId="0" xfId="6" applyFont="1" applyBorder="1" applyAlignment="1">
      <alignment vertical="center"/>
    </xf>
    <xf numFmtId="0" fontId="19" fillId="0" borderId="29" xfId="0" applyFont="1" applyBorder="1"/>
    <xf numFmtId="0" fontId="19" fillId="0" borderId="7" xfId="0" applyFont="1" applyBorder="1"/>
    <xf numFmtId="0" fontId="20" fillId="0" borderId="7" xfId="0" applyFont="1" applyBorder="1" applyAlignment="1">
      <alignment horizontal="center"/>
    </xf>
    <xf numFmtId="0" fontId="20" fillId="0" borderId="7" xfId="0" applyFont="1" applyBorder="1"/>
    <xf numFmtId="0" fontId="20" fillId="0" borderId="10" xfId="0" applyFont="1" applyBorder="1" applyAlignment="1">
      <alignment horizontal="right"/>
    </xf>
    <xf numFmtId="0" fontId="19" fillId="0" borderId="27" xfId="0" applyFont="1" applyBorder="1" applyAlignment="1">
      <alignment horizontal="center" vertical="center"/>
    </xf>
    <xf numFmtId="0" fontId="19" fillId="0" borderId="1" xfId="0" applyFont="1" applyBorder="1" applyAlignment="1">
      <alignment horizontal="center" vertical="center"/>
    </xf>
    <xf numFmtId="0" fontId="19" fillId="0" borderId="11" xfId="0" applyFont="1" applyBorder="1" applyAlignment="1">
      <alignment horizontal="center" vertical="center"/>
    </xf>
    <xf numFmtId="0" fontId="20" fillId="0" borderId="27" xfId="6" applyFont="1" applyBorder="1" applyAlignment="1">
      <alignment horizontal="left"/>
    </xf>
    <xf numFmtId="0" fontId="21" fillId="0" borderId="1" xfId="0" applyFont="1" applyBorder="1"/>
    <xf numFmtId="0" fontId="20" fillId="0" borderId="1" xfId="6" applyFont="1" applyBorder="1" applyAlignment="1">
      <alignment horizontal="center"/>
    </xf>
    <xf numFmtId="4" fontId="20" fillId="0" borderId="1" xfId="6" applyNumberFormat="1" applyFont="1" applyBorder="1" applyAlignment="1">
      <alignment horizontal="right"/>
    </xf>
    <xf numFmtId="4" fontId="20" fillId="0" borderId="11" xfId="6" applyNumberFormat="1" applyFont="1" applyBorder="1" applyAlignment="1">
      <alignment horizontal="right" vertical="center"/>
    </xf>
    <xf numFmtId="0" fontId="20" fillId="0" borderId="27" xfId="6" applyFont="1" applyBorder="1" applyAlignment="1">
      <alignment horizontal="left" vertical="center"/>
    </xf>
    <xf numFmtId="3" fontId="20" fillId="0" borderId="1" xfId="6" applyNumberFormat="1" applyFont="1" applyBorder="1" applyAlignment="1">
      <alignment horizontal="center" vertical="center"/>
    </xf>
    <xf numFmtId="4" fontId="20" fillId="0" borderId="1" xfId="6" applyNumberFormat="1" applyFont="1" applyBorder="1" applyAlignment="1">
      <alignment horizontal="right" vertical="center"/>
    </xf>
    <xf numFmtId="0" fontId="20" fillId="0" borderId="1" xfId="6" applyFont="1" applyBorder="1" applyAlignment="1">
      <alignment horizontal="center" vertical="center"/>
    </xf>
    <xf numFmtId="0" fontId="20" fillId="0" borderId="27" xfId="6" applyFont="1" applyBorder="1" applyAlignment="1">
      <alignment vertical="center"/>
    </xf>
    <xf numFmtId="167" fontId="20" fillId="0" borderId="1" xfId="6" applyNumberFormat="1" applyFont="1" applyBorder="1" applyAlignment="1">
      <alignment vertical="center"/>
    </xf>
    <xf numFmtId="4" fontId="20" fillId="0" borderId="1" xfId="6" applyNumberFormat="1" applyFont="1" applyBorder="1" applyAlignment="1">
      <alignment vertical="center"/>
    </xf>
    <xf numFmtId="4" fontId="20" fillId="0" borderId="11" xfId="6" applyNumberFormat="1" applyFont="1" applyBorder="1" applyAlignment="1">
      <alignment vertical="center"/>
    </xf>
    <xf numFmtId="0" fontId="19" fillId="0" borderId="27" xfId="0" applyFont="1" applyBorder="1" applyAlignment="1">
      <alignment horizontal="center" vertical="center" wrapText="1"/>
    </xf>
    <xf numFmtId="4" fontId="19" fillId="0" borderId="1" xfId="0" applyNumberFormat="1" applyFont="1" applyBorder="1" applyAlignment="1">
      <alignment horizontal="center" vertical="center"/>
    </xf>
    <xf numFmtId="4" fontId="19" fillId="0" borderId="11" xfId="0" applyNumberFormat="1" applyFont="1" applyBorder="1" applyAlignment="1">
      <alignment horizontal="center" vertical="center"/>
    </xf>
    <xf numFmtId="0" fontId="21" fillId="0" borderId="0" xfId="0" applyFont="1" applyBorder="1"/>
    <xf numFmtId="0" fontId="19" fillId="9" borderId="28" xfId="6" applyFont="1" applyFill="1" applyBorder="1" applyAlignment="1">
      <alignment horizontal="left" vertical="center"/>
    </xf>
    <xf numFmtId="0" fontId="20" fillId="9" borderId="8" xfId="6" applyFont="1" applyFill="1" applyBorder="1" applyAlignment="1">
      <alignment vertical="center"/>
    </xf>
    <xf numFmtId="4" fontId="19" fillId="9" borderId="12" xfId="6" applyNumberFormat="1" applyFont="1" applyFill="1" applyBorder="1" applyAlignment="1">
      <alignment vertical="center"/>
    </xf>
    <xf numFmtId="0" fontId="21" fillId="0" borderId="0" xfId="0" applyFont="1" applyBorder="1" applyAlignment="1">
      <alignment vertical="center"/>
    </xf>
    <xf numFmtId="0" fontId="21" fillId="0" borderId="0" xfId="0" applyFont="1" applyAlignment="1">
      <alignment wrapText="1"/>
    </xf>
    <xf numFmtId="0" fontId="18" fillId="0" borderId="27" xfId="0" applyFont="1" applyBorder="1" applyAlignment="1">
      <alignment horizontal="center"/>
    </xf>
    <xf numFmtId="0" fontId="18" fillId="0" borderId="1" xfId="0" applyFont="1" applyBorder="1" applyAlignment="1">
      <alignment horizontal="center"/>
    </xf>
    <xf numFmtId="0" fontId="18" fillId="0" borderId="11" xfId="0" applyFont="1" applyBorder="1" applyAlignment="1">
      <alignment horizontal="center"/>
    </xf>
    <xf numFmtId="0" fontId="21" fillId="0" borderId="27" xfId="0" applyFont="1" applyBorder="1" applyAlignment="1">
      <alignment vertical="top" wrapText="1"/>
    </xf>
    <xf numFmtId="0" fontId="21" fillId="0" borderId="1" xfId="0" applyFont="1" applyBorder="1" applyAlignment="1">
      <alignment vertical="top"/>
    </xf>
    <xf numFmtId="168" fontId="21" fillId="0" borderId="1" xfId="4" applyNumberFormat="1" applyFont="1" applyBorder="1" applyAlignment="1">
      <alignment vertical="top"/>
    </xf>
    <xf numFmtId="168" fontId="21" fillId="0" borderId="11" xfId="0" applyNumberFormat="1" applyFont="1" applyBorder="1" applyAlignment="1">
      <alignment vertical="top"/>
    </xf>
    <xf numFmtId="168" fontId="18" fillId="0" borderId="12" xfId="0" applyNumberFormat="1" applyFont="1" applyFill="1" applyBorder="1"/>
    <xf numFmtId="0" fontId="0" fillId="0" borderId="1" xfId="0" applyBorder="1" applyAlignment="1">
      <alignment horizontal="center"/>
    </xf>
    <xf numFmtId="0" fontId="13" fillId="0" borderId="1" xfId="0" applyFont="1" applyBorder="1" applyAlignment="1">
      <alignment horizontal="center"/>
    </xf>
    <xf numFmtId="43" fontId="0" fillId="0" borderId="0" xfId="3" applyFont="1"/>
    <xf numFmtId="169" fontId="0" fillId="0" borderId="0" xfId="3" applyNumberFormat="1" applyFont="1"/>
    <xf numFmtId="169" fontId="0" fillId="0" borderId="1" xfId="3" applyNumberFormat="1" applyFont="1" applyBorder="1" applyAlignment="1">
      <alignment horizontal="center"/>
    </xf>
    <xf numFmtId="0" fontId="15" fillId="0" borderId="0" xfId="0" applyFont="1" applyBorder="1" applyAlignment="1">
      <alignment horizontal="center" vertical="center" wrapText="1"/>
    </xf>
    <xf numFmtId="3" fontId="16" fillId="0" borderId="0" xfId="0" applyNumberFormat="1" applyFont="1" applyBorder="1" applyAlignment="1">
      <alignment horizontal="center" vertical="center" wrapText="1"/>
    </xf>
    <xf numFmtId="3" fontId="16" fillId="0" borderId="16" xfId="0" applyNumberFormat="1" applyFont="1" applyBorder="1" applyAlignment="1">
      <alignment horizontal="center" vertical="center" wrapText="1"/>
    </xf>
    <xf numFmtId="169" fontId="0" fillId="0" borderId="0" xfId="0" applyNumberFormat="1"/>
    <xf numFmtId="0" fontId="16" fillId="0" borderId="18" xfId="0" applyFont="1" applyBorder="1" applyAlignment="1">
      <alignment horizontal="justify" vertical="center" wrapText="1"/>
    </xf>
    <xf numFmtId="0" fontId="0" fillId="0" borderId="1" xfId="0" applyBorder="1"/>
    <xf numFmtId="169" fontId="0" fillId="0" borderId="1" xfId="0" applyNumberFormat="1" applyBorder="1"/>
    <xf numFmtId="0" fontId="0" fillId="0" borderId="14" xfId="0" applyBorder="1"/>
    <xf numFmtId="169" fontId="0" fillId="0" borderId="14" xfId="0" applyNumberFormat="1" applyBorder="1"/>
    <xf numFmtId="3" fontId="0" fillId="0" borderId="14" xfId="0" applyNumberFormat="1" applyBorder="1"/>
    <xf numFmtId="9" fontId="14" fillId="0" borderId="0" xfId="5" applyFont="1"/>
    <xf numFmtId="169" fontId="16" fillId="0" borderId="14" xfId="3" applyNumberFormat="1" applyFont="1" applyBorder="1" applyAlignment="1">
      <alignment horizontal="center" vertical="center" wrapText="1"/>
    </xf>
    <xf numFmtId="0" fontId="10" fillId="0" borderId="2" xfId="0" applyFont="1" applyBorder="1" applyAlignment="1">
      <alignment vertical="center" wrapText="1"/>
    </xf>
    <xf numFmtId="0" fontId="9" fillId="0" borderId="2" xfId="0" applyFont="1" applyBorder="1" applyAlignment="1">
      <alignment horizontal="center" wrapText="1"/>
    </xf>
    <xf numFmtId="0" fontId="9" fillId="0" borderId="0" xfId="0" applyFont="1" applyAlignment="1">
      <alignment vertical="center" wrapText="1"/>
    </xf>
    <xf numFmtId="1" fontId="0" fillId="0" borderId="1" xfId="0" applyNumberFormat="1" applyBorder="1" applyAlignment="1">
      <alignment horizontal="center"/>
    </xf>
    <xf numFmtId="0" fontId="13" fillId="0" borderId="0" xfId="0" applyFont="1"/>
    <xf numFmtId="170" fontId="0" fillId="0" borderId="0" xfId="3" applyNumberFormat="1" applyFont="1"/>
    <xf numFmtId="0" fontId="22" fillId="0" borderId="0" xfId="0" applyFont="1"/>
    <xf numFmtId="0" fontId="13" fillId="0" borderId="1" xfId="0" applyFont="1" applyBorder="1" applyAlignment="1">
      <alignment horizontal="center" vertical="center"/>
    </xf>
    <xf numFmtId="0" fontId="22" fillId="0" borderId="1" xfId="0" applyFont="1" applyBorder="1"/>
    <xf numFmtId="0" fontId="12" fillId="0" borderId="1" xfId="0" applyFont="1" applyBorder="1" applyAlignment="1">
      <alignment horizontal="center"/>
    </xf>
    <xf numFmtId="0" fontId="13" fillId="0" borderId="1" xfId="0" applyFont="1" applyBorder="1"/>
    <xf numFmtId="170" fontId="0" fillId="0" borderId="6" xfId="0" applyNumberFormat="1" applyBorder="1" applyAlignment="1">
      <alignment horizontal="center"/>
    </xf>
    <xf numFmtId="170" fontId="0" fillId="0" borderId="6" xfId="0" applyNumberFormat="1" applyBorder="1" applyAlignment="1">
      <alignment horizontal="center" vertical="center"/>
    </xf>
    <xf numFmtId="0" fontId="12" fillId="0" borderId="0" xfId="0" applyFont="1"/>
    <xf numFmtId="0" fontId="13" fillId="0" borderId="13" xfId="0" applyFont="1" applyBorder="1" applyAlignment="1">
      <alignment horizontal="center" vertical="center"/>
    </xf>
    <xf numFmtId="0" fontId="13" fillId="0" borderId="1" xfId="0" applyFont="1" applyFill="1" applyBorder="1" applyAlignment="1">
      <alignment horizontal="center" vertical="center"/>
    </xf>
    <xf numFmtId="170" fontId="0" fillId="0" borderId="1" xfId="0" applyNumberFormat="1" applyBorder="1"/>
    <xf numFmtId="0" fontId="0" fillId="0" borderId="1" xfId="0" applyBorder="1" applyAlignment="1">
      <alignment wrapText="1"/>
    </xf>
    <xf numFmtId="0" fontId="0" fillId="0" borderId="1" xfId="0" applyFill="1" applyBorder="1"/>
    <xf numFmtId="0" fontId="11" fillId="0" borderId="0" xfId="0" applyFont="1" applyBorder="1" applyAlignment="1">
      <alignment horizontal="center"/>
    </xf>
    <xf numFmtId="166" fontId="11" fillId="0" borderId="0" xfId="0" applyNumberFormat="1" applyFont="1" applyBorder="1"/>
    <xf numFmtId="0" fontId="11" fillId="0" borderId="0" xfId="0" applyFont="1" applyBorder="1"/>
    <xf numFmtId="0" fontId="11" fillId="3" borderId="0" xfId="0" applyFont="1" applyFill="1" applyBorder="1" applyAlignment="1">
      <alignment vertical="center" wrapText="1"/>
    </xf>
    <xf numFmtId="166" fontId="11" fillId="0" borderId="0" xfId="0" applyNumberFormat="1" applyFont="1" applyFill="1" applyBorder="1" applyAlignment="1">
      <alignment horizontal="left"/>
    </xf>
    <xf numFmtId="166" fontId="11" fillId="0" borderId="0" xfId="0" applyNumberFormat="1" applyFont="1" applyFill="1" applyBorder="1"/>
    <xf numFmtId="166" fontId="11" fillId="3" borderId="0" xfId="0" applyNumberFormat="1" applyFont="1" applyFill="1" applyBorder="1" applyAlignment="1">
      <alignment vertical="center"/>
    </xf>
    <xf numFmtId="166" fontId="11" fillId="3" borderId="0" xfId="0" applyNumberFormat="1" applyFont="1" applyFill="1" applyBorder="1" applyAlignment="1">
      <alignment vertical="center" wrapText="1"/>
    </xf>
    <xf numFmtId="0" fontId="0" fillId="0" borderId="0" xfId="0" applyBorder="1"/>
    <xf numFmtId="171" fontId="0" fillId="0" borderId="0" xfId="0" applyNumberFormat="1"/>
    <xf numFmtId="0" fontId="12" fillId="0" borderId="5" xfId="0" applyFont="1" applyFill="1" applyBorder="1" applyAlignment="1">
      <alignment horizontal="center"/>
    </xf>
    <xf numFmtId="43" fontId="0" fillId="0" borderId="0" xfId="0" applyNumberFormat="1"/>
    <xf numFmtId="169" fontId="0" fillId="0" borderId="1" xfId="0" applyNumberFormat="1" applyBorder="1" applyAlignment="1">
      <alignment horizontal="center"/>
    </xf>
    <xf numFmtId="0" fontId="13" fillId="0" borderId="0" xfId="0" applyFont="1" applyFill="1" applyBorder="1" applyAlignment="1">
      <alignment horizontal="center"/>
    </xf>
    <xf numFmtId="0" fontId="13" fillId="10" borderId="1" xfId="0" applyFont="1" applyFill="1" applyBorder="1"/>
    <xf numFmtId="170" fontId="13" fillId="10" borderId="1" xfId="3" applyNumberFormat="1" applyFont="1" applyFill="1" applyBorder="1" applyAlignment="1">
      <alignment horizontal="center" vertical="center"/>
    </xf>
    <xf numFmtId="170" fontId="0" fillId="0" borderId="1" xfId="3" applyNumberFormat="1" applyFont="1" applyBorder="1" applyAlignment="1">
      <alignment horizontal="center" vertical="center"/>
    </xf>
    <xf numFmtId="4" fontId="0" fillId="0" borderId="1" xfId="0" applyNumberFormat="1" applyBorder="1"/>
    <xf numFmtId="3" fontId="0" fillId="0" borderId="1" xfId="0" applyNumberFormat="1" applyBorder="1"/>
    <xf numFmtId="172" fontId="0" fillId="0" borderId="1" xfId="0" applyNumberFormat="1" applyBorder="1"/>
    <xf numFmtId="0" fontId="13" fillId="10" borderId="1" xfId="0" applyFont="1" applyFill="1" applyBorder="1" applyAlignment="1">
      <alignment wrapText="1"/>
    </xf>
    <xf numFmtId="170" fontId="13" fillId="10" borderId="1" xfId="0" applyNumberFormat="1" applyFont="1" applyFill="1" applyBorder="1"/>
    <xf numFmtId="170" fontId="13" fillId="10" borderId="1" xfId="0" applyNumberFormat="1" applyFont="1" applyFill="1" applyBorder="1" applyAlignment="1">
      <alignment horizontal="center"/>
    </xf>
    <xf numFmtId="169" fontId="11" fillId="3" borderId="7" xfId="3" applyNumberFormat="1" applyFont="1" applyFill="1" applyBorder="1" applyAlignment="1">
      <alignment horizontal="center" vertical="center"/>
    </xf>
    <xf numFmtId="169" fontId="11" fillId="3" borderId="1" xfId="3" applyNumberFormat="1" applyFont="1" applyFill="1" applyBorder="1" applyAlignment="1">
      <alignment horizontal="center" vertical="center"/>
    </xf>
    <xf numFmtId="0" fontId="0" fillId="0" borderId="0" xfId="0" applyAlignment="1">
      <alignment vertical="center"/>
    </xf>
    <xf numFmtId="169" fontId="0" fillId="0" borderId="1" xfId="3" applyNumberFormat="1" applyFont="1" applyBorder="1" applyAlignment="1">
      <alignment vertical="center"/>
    </xf>
    <xf numFmtId="0" fontId="13" fillId="0" borderId="1" xfId="0" applyFont="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vertical="center"/>
    </xf>
    <xf numFmtId="169" fontId="0" fillId="0" borderId="1" xfId="0" applyNumberFormat="1" applyBorder="1" applyAlignment="1">
      <alignment vertical="center"/>
    </xf>
    <xf numFmtId="0" fontId="3" fillId="2" borderId="1" xfId="2" applyFont="1" applyFill="1" applyBorder="1" applyAlignment="1" applyProtection="1">
      <alignment horizontal="center" vertical="center" wrapText="1"/>
      <protection locked="0"/>
    </xf>
    <xf numFmtId="0" fontId="4" fillId="3" borderId="2" xfId="2" applyFont="1" applyFill="1" applyBorder="1" applyAlignment="1" applyProtection="1">
      <alignment horizontal="left" vertical="center" wrapText="1"/>
      <protection locked="0"/>
    </xf>
    <xf numFmtId="0" fontId="4" fillId="3" borderId="3" xfId="2" applyFont="1" applyFill="1" applyBorder="1" applyAlignment="1" applyProtection="1">
      <alignment horizontal="left" vertical="center" wrapText="1"/>
      <protection locked="0"/>
    </xf>
    <xf numFmtId="0" fontId="4" fillId="3" borderId="4" xfId="2" applyFont="1" applyFill="1" applyBorder="1" applyAlignment="1" applyProtection="1">
      <alignment horizontal="left" vertical="center" wrapText="1"/>
      <protection locked="0"/>
    </xf>
    <xf numFmtId="0" fontId="13" fillId="0" borderId="1" xfId="0" applyFont="1" applyBorder="1" applyAlignment="1">
      <alignment horizontal="center"/>
    </xf>
    <xf numFmtId="0" fontId="15" fillId="8" borderId="22" xfId="0" applyFont="1" applyFill="1" applyBorder="1" applyAlignment="1">
      <alignment horizontal="center" vertical="center" wrapText="1"/>
    </xf>
    <xf numFmtId="0" fontId="15" fillId="8" borderId="15"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23"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5" fillId="3" borderId="2" xfId="2" applyFont="1" applyFill="1" applyBorder="1" applyAlignment="1" applyProtection="1">
      <alignment horizontal="left" vertical="center" wrapText="1"/>
      <protection locked="0"/>
    </xf>
    <xf numFmtId="0" fontId="5" fillId="3" borderId="3" xfId="2" applyFont="1" applyFill="1" applyBorder="1" applyAlignment="1" applyProtection="1">
      <alignment horizontal="left" vertical="center" wrapText="1"/>
      <protection locked="0"/>
    </xf>
    <xf numFmtId="0" fontId="5" fillId="3" borderId="4" xfId="2" applyFont="1" applyFill="1" applyBorder="1" applyAlignment="1" applyProtection="1">
      <alignment horizontal="left" vertical="center" wrapText="1"/>
      <protection locked="0"/>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Fill="1" applyBorder="1" applyAlignment="1">
      <alignment horizontal="center" wrapText="1"/>
    </xf>
    <xf numFmtId="0" fontId="11" fillId="3" borderId="7"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1" xfId="0" applyFont="1" applyFill="1" applyBorder="1" applyAlignment="1">
      <alignment horizontal="left" vertical="center"/>
    </xf>
    <xf numFmtId="0" fontId="11" fillId="3" borderId="1" xfId="0" applyFont="1" applyFill="1" applyBorder="1" applyAlignment="1">
      <alignment horizontal="left" vertical="center" wrapText="1"/>
    </xf>
    <xf numFmtId="0" fontId="18" fillId="0" borderId="22" xfId="0" applyFont="1" applyBorder="1" applyAlignment="1">
      <alignment horizontal="center"/>
    </xf>
    <xf numFmtId="0" fontId="18" fillId="0" borderId="23" xfId="0" applyFont="1" applyBorder="1" applyAlignment="1">
      <alignment horizontal="center"/>
    </xf>
    <xf numFmtId="0" fontId="18" fillId="0" borderId="15" xfId="0" applyFont="1" applyBorder="1" applyAlignment="1">
      <alignment horizontal="center"/>
    </xf>
    <xf numFmtId="0" fontId="20" fillId="0" borderId="27" xfId="0" applyFont="1" applyBorder="1" applyAlignment="1">
      <alignment horizontal="left" vertical="top" wrapText="1"/>
    </xf>
    <xf numFmtId="0" fontId="20" fillId="0" borderId="1" xfId="0" applyFont="1" applyBorder="1" applyAlignment="1">
      <alignment horizontal="left" vertical="top" wrapText="1"/>
    </xf>
    <xf numFmtId="0" fontId="20" fillId="0" borderId="11" xfId="0" applyFont="1" applyBorder="1" applyAlignment="1">
      <alignment horizontal="left" vertical="top" wrapText="1"/>
    </xf>
    <xf numFmtId="0" fontId="18" fillId="0" borderId="30" xfId="0" applyFont="1" applyBorder="1" applyAlignment="1">
      <alignment horizontal="center" wrapText="1"/>
    </xf>
    <xf numFmtId="0" fontId="18" fillId="0" borderId="31" xfId="0" applyFont="1" applyBorder="1" applyAlignment="1">
      <alignment horizontal="center" wrapText="1"/>
    </xf>
    <xf numFmtId="0" fontId="18" fillId="0" borderId="32" xfId="0" applyFont="1" applyBorder="1" applyAlignment="1">
      <alignment horizontal="center" wrapText="1"/>
    </xf>
    <xf numFmtId="0" fontId="18" fillId="0" borderId="33" xfId="0" applyFont="1" applyBorder="1" applyAlignment="1">
      <alignment horizontal="right"/>
    </xf>
    <xf numFmtId="0" fontId="18" fillId="0" borderId="34" xfId="0" applyFont="1" applyBorder="1" applyAlignment="1">
      <alignment horizontal="right"/>
    </xf>
    <xf numFmtId="0" fontId="18" fillId="0" borderId="35" xfId="0" applyFont="1" applyBorder="1" applyAlignment="1">
      <alignment horizontal="right"/>
    </xf>
    <xf numFmtId="0" fontId="4" fillId="3" borderId="5" xfId="2" applyFont="1" applyFill="1" applyBorder="1" applyAlignment="1" applyProtection="1">
      <alignment horizontal="left" vertical="center" wrapText="1"/>
      <protection locked="0"/>
    </xf>
    <xf numFmtId="0" fontId="4" fillId="3" borderId="0" xfId="2" applyFont="1" applyFill="1" applyBorder="1" applyAlignment="1" applyProtection="1">
      <alignment horizontal="left" vertical="center" wrapText="1"/>
      <protection locked="0"/>
    </xf>
    <xf numFmtId="0" fontId="0" fillId="0" borderId="19" xfId="0" applyBorder="1" applyAlignment="1">
      <alignment horizontal="center"/>
    </xf>
    <xf numFmtId="0" fontId="13" fillId="0" borderId="36" xfId="0" applyFont="1" applyBorder="1" applyAlignment="1">
      <alignment horizontal="center"/>
    </xf>
    <xf numFmtId="0" fontId="3" fillId="4" borderId="6" xfId="2" applyFont="1" applyFill="1" applyBorder="1" applyAlignment="1" applyProtection="1">
      <alignment horizontal="center" vertical="center" wrapText="1"/>
      <protection locked="0"/>
    </xf>
    <xf numFmtId="0" fontId="6" fillId="3" borderId="2" xfId="2" applyFont="1" applyFill="1" applyBorder="1" applyAlignment="1" applyProtection="1">
      <alignment horizontal="left" vertical="top" wrapText="1"/>
      <protection locked="0"/>
    </xf>
    <xf numFmtId="0" fontId="6" fillId="3" borderId="3" xfId="2" applyFont="1" applyFill="1" applyBorder="1" applyAlignment="1" applyProtection="1">
      <alignment horizontal="left" vertical="top" wrapText="1"/>
      <protection locked="0"/>
    </xf>
    <xf numFmtId="0" fontId="6" fillId="3" borderId="4" xfId="2" applyFont="1" applyFill="1" applyBorder="1" applyAlignment="1" applyProtection="1">
      <alignment horizontal="left" vertical="top" wrapText="1"/>
      <protection locked="0"/>
    </xf>
    <xf numFmtId="0" fontId="3" fillId="4" borderId="2" xfId="2" applyFont="1" applyFill="1" applyBorder="1" applyAlignment="1" applyProtection="1">
      <alignment horizontal="center" vertical="center" wrapText="1"/>
      <protection locked="0"/>
    </xf>
    <xf numFmtId="0" fontId="3" fillId="4" borderId="3" xfId="2" applyFont="1" applyFill="1" applyBorder="1" applyAlignment="1" applyProtection="1">
      <alignment horizontal="center" vertical="center" wrapText="1"/>
      <protection locked="0"/>
    </xf>
    <xf numFmtId="0" fontId="3" fillId="4" borderId="4" xfId="2" applyFont="1" applyFill="1" applyBorder="1" applyAlignment="1" applyProtection="1">
      <alignment horizontal="center" vertical="center" wrapText="1"/>
      <protection locked="0"/>
    </xf>
    <xf numFmtId="0" fontId="13" fillId="0" borderId="2" xfId="0" applyFont="1" applyBorder="1" applyAlignment="1">
      <alignment horizontal="center"/>
    </xf>
    <xf numFmtId="0" fontId="13" fillId="0" borderId="3" xfId="0" applyFont="1" applyBorder="1" applyAlignment="1">
      <alignment horizontal="center"/>
    </xf>
    <xf numFmtId="0" fontId="13" fillId="0" borderId="4" xfId="0" applyFont="1" applyBorder="1" applyAlignment="1">
      <alignment horizontal="center"/>
    </xf>
    <xf numFmtId="166" fontId="11" fillId="3" borderId="0" xfId="0" applyNumberFormat="1" applyFont="1" applyFill="1" applyBorder="1" applyAlignment="1">
      <alignment horizontal="center" vertical="center" wrapText="1"/>
    </xf>
    <xf numFmtId="0" fontId="4" fillId="3" borderId="2" xfId="0" applyFont="1" applyFill="1" applyBorder="1" applyAlignment="1" applyProtection="1">
      <alignment horizontal="left" vertical="center" wrapText="1"/>
      <protection locked="0"/>
    </xf>
    <xf numFmtId="0" fontId="4" fillId="3" borderId="3" xfId="0" applyFont="1" applyFill="1" applyBorder="1" applyAlignment="1" applyProtection="1">
      <alignment horizontal="left" vertical="center" wrapText="1"/>
      <protection locked="0"/>
    </xf>
    <xf numFmtId="0" fontId="4" fillId="3" borderId="4" xfId="0" applyFont="1" applyFill="1" applyBorder="1" applyAlignment="1" applyProtection="1">
      <alignment horizontal="left" vertical="center" wrapText="1"/>
      <protection locked="0"/>
    </xf>
    <xf numFmtId="166" fontId="11" fillId="3" borderId="0" xfId="0" applyNumberFormat="1" applyFont="1" applyFill="1" applyBorder="1" applyAlignment="1">
      <alignment horizontal="center" vertical="center"/>
    </xf>
    <xf numFmtId="0" fontId="11"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6" fillId="0" borderId="2" xfId="0" applyFont="1" applyFill="1" applyBorder="1" applyAlignment="1" applyProtection="1">
      <alignment horizontal="left" vertical="top" wrapText="1"/>
      <protection locked="0"/>
    </xf>
    <xf numFmtId="0" fontId="6" fillId="0" borderId="3" xfId="0" applyFont="1" applyFill="1" applyBorder="1" applyAlignment="1" applyProtection="1">
      <alignment horizontal="left" vertical="top" wrapText="1"/>
      <protection locked="0"/>
    </xf>
    <xf numFmtId="0" fontId="6" fillId="0" borderId="4" xfId="0" applyFont="1" applyFill="1" applyBorder="1" applyAlignment="1" applyProtection="1">
      <alignment horizontal="left" vertical="top" wrapText="1"/>
      <protection locked="0"/>
    </xf>
  </cellXfs>
  <cellStyles count="7">
    <cellStyle name="Millares" xfId="3" builtinId="3"/>
    <cellStyle name="Millares [0]" xfId="1" builtinId="6"/>
    <cellStyle name="Moneda" xfId="4" builtinId="4"/>
    <cellStyle name="Normal" xfId="0" builtinId="0"/>
    <cellStyle name="Normal 2" xfId="2"/>
    <cellStyle name="Normal_ANALISIS" xfId="6"/>
    <cellStyle name="Porcentaje"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95250</xdr:colOff>
      <xdr:row>3</xdr:row>
      <xdr:rowOff>104775</xdr:rowOff>
    </xdr:from>
    <xdr:to>
      <xdr:col>11</xdr:col>
      <xdr:colOff>666750</xdr:colOff>
      <xdr:row>22</xdr:row>
      <xdr:rowOff>76200</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 y="647700"/>
          <a:ext cx="8953500" cy="3590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15</xdr:row>
      <xdr:rowOff>0</xdr:rowOff>
    </xdr:from>
    <xdr:to>
      <xdr:col>6</xdr:col>
      <xdr:colOff>708025</xdr:colOff>
      <xdr:row>23</xdr:row>
      <xdr:rowOff>0</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95500"/>
          <a:ext cx="5461000" cy="152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10</xdr:row>
      <xdr:rowOff>1</xdr:rowOff>
    </xdr:from>
    <xdr:to>
      <xdr:col>3</xdr:col>
      <xdr:colOff>120650</xdr:colOff>
      <xdr:row>12</xdr:row>
      <xdr:rowOff>174745</xdr:rowOff>
    </xdr:to>
    <xdr:pic>
      <xdr:nvPicPr>
        <xdr:cNvPr id="3" name="2 Imagen"/>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1143001"/>
          <a:ext cx="2587625" cy="55574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election activeCell="B3" sqref="B3"/>
    </sheetView>
  </sheetViews>
  <sheetFormatPr baseColWidth="10" defaultRowHeight="15" x14ac:dyDescent="0.25"/>
  <cols>
    <col min="5" max="5" width="20" customWidth="1"/>
    <col min="6" max="6" width="20.42578125" bestFit="1" customWidth="1"/>
    <col min="7" max="7" width="17.85546875" customWidth="1"/>
  </cols>
  <sheetData>
    <row r="1" spans="1:12" ht="27.75" x14ac:dyDescent="0.25">
      <c r="A1" s="214" t="s">
        <v>0</v>
      </c>
      <c r="B1" s="214"/>
      <c r="C1" s="214"/>
      <c r="D1" s="214"/>
      <c r="E1" s="214"/>
      <c r="F1" s="214"/>
      <c r="G1" s="214"/>
      <c r="H1" s="214"/>
      <c r="I1" s="214"/>
      <c r="J1" s="214"/>
      <c r="K1" s="214"/>
      <c r="L1" s="214"/>
    </row>
  </sheetData>
  <mergeCells count="1">
    <mergeCell ref="A1:L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5" workbookViewId="0">
      <selection activeCell="D9" sqref="D9"/>
    </sheetView>
  </sheetViews>
  <sheetFormatPr baseColWidth="10" defaultRowHeight="15" x14ac:dyDescent="0.25"/>
  <cols>
    <col min="1" max="1" width="35.7109375" bestFit="1" customWidth="1"/>
    <col min="2" max="2" width="23.85546875" bestFit="1" customWidth="1"/>
  </cols>
  <sheetData>
    <row r="1" spans="1:12" ht="27.75" x14ac:dyDescent="0.25">
      <c r="A1" s="214" t="s">
        <v>14</v>
      </c>
      <c r="B1" s="214"/>
      <c r="C1" s="214"/>
      <c r="D1" s="214"/>
      <c r="E1" s="214"/>
      <c r="F1" s="214"/>
      <c r="G1" s="214"/>
      <c r="H1" s="214"/>
      <c r="I1" s="214"/>
      <c r="J1" s="214"/>
      <c r="K1" s="214"/>
      <c r="L1" s="214"/>
    </row>
    <row r="4" spans="1:12" x14ac:dyDescent="0.25">
      <c r="A4" s="250" t="s">
        <v>159</v>
      </c>
      <c r="B4" s="250"/>
      <c r="C4" s="250"/>
      <c r="D4" s="250"/>
    </row>
    <row r="5" spans="1:12" ht="30" x14ac:dyDescent="0.25">
      <c r="A5" s="157"/>
      <c r="B5" s="210" t="s">
        <v>221</v>
      </c>
      <c r="C5" s="210" t="s">
        <v>222</v>
      </c>
      <c r="D5" s="210" t="s">
        <v>223</v>
      </c>
    </row>
    <row r="6" spans="1:12" s="208" customFormat="1" ht="92.25" customHeight="1" x14ac:dyDescent="0.25">
      <c r="A6" s="211" t="s">
        <v>220</v>
      </c>
      <c r="B6" s="209">
        <v>6</v>
      </c>
      <c r="C6" s="209">
        <v>50000</v>
      </c>
      <c r="D6" s="209">
        <f>B6*C6</f>
        <v>300000</v>
      </c>
    </row>
    <row r="7" spans="1:12" s="208" customFormat="1" x14ac:dyDescent="0.25">
      <c r="A7" s="211" t="s">
        <v>224</v>
      </c>
      <c r="B7" s="212"/>
      <c r="C7" s="212"/>
      <c r="D7" s="209">
        <v>200000</v>
      </c>
    </row>
    <row r="8" spans="1:12" s="208" customFormat="1" x14ac:dyDescent="0.25">
      <c r="A8" s="212" t="s">
        <v>225</v>
      </c>
      <c r="B8" s="213">
        <v>4732.0494166666658</v>
      </c>
      <c r="C8" s="212">
        <v>60</v>
      </c>
      <c r="D8" s="213">
        <f>B8*C8</f>
        <v>283922.96499999997</v>
      </c>
    </row>
    <row r="9" spans="1:12" x14ac:dyDescent="0.25">
      <c r="A9" s="157"/>
      <c r="B9" s="157"/>
      <c r="C9" s="157"/>
      <c r="D9" s="158">
        <f>SUM(D6:D8)</f>
        <v>783922.96499999997</v>
      </c>
    </row>
  </sheetData>
  <mergeCells count="2">
    <mergeCell ref="A1:L1"/>
    <mergeCell ref="A4:D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topLeftCell="A2" workbookViewId="0">
      <selection activeCell="H8" sqref="H8:I8"/>
    </sheetView>
  </sheetViews>
  <sheetFormatPr baseColWidth="10" defaultRowHeight="15" x14ac:dyDescent="0.25"/>
  <cols>
    <col min="4" max="4" width="14.140625" bestFit="1" customWidth="1"/>
  </cols>
  <sheetData>
    <row r="1" spans="1:12" ht="27.75" x14ac:dyDescent="0.25">
      <c r="A1" s="214" t="s">
        <v>15</v>
      </c>
      <c r="B1" s="214"/>
      <c r="C1" s="214"/>
      <c r="D1" s="214"/>
      <c r="E1" s="214"/>
      <c r="F1" s="214"/>
      <c r="G1" s="214"/>
      <c r="H1" s="214"/>
      <c r="I1" s="214"/>
      <c r="J1" s="214"/>
      <c r="K1" s="214"/>
      <c r="L1" s="214"/>
    </row>
    <row r="3" spans="1:12" ht="57" customHeight="1" x14ac:dyDescent="0.25">
      <c r="A3" s="247" t="s">
        <v>16</v>
      </c>
      <c r="B3" s="248"/>
      <c r="C3" s="248"/>
      <c r="D3" s="248"/>
      <c r="E3" s="248"/>
      <c r="F3" s="248"/>
      <c r="G3" s="248"/>
      <c r="H3" s="248"/>
      <c r="I3" s="248"/>
      <c r="J3" s="248"/>
      <c r="K3" s="248"/>
      <c r="L3" s="248"/>
    </row>
    <row r="6" spans="1:12" x14ac:dyDescent="0.25">
      <c r="D6" s="218" t="s">
        <v>153</v>
      </c>
      <c r="E6" s="218"/>
      <c r="F6" s="218"/>
    </row>
    <row r="7" spans="1:12" x14ac:dyDescent="0.25">
      <c r="D7" s="148" t="s">
        <v>154</v>
      </c>
      <c r="E7" s="148" t="s">
        <v>155</v>
      </c>
      <c r="F7" s="148" t="s">
        <v>156</v>
      </c>
    </row>
    <row r="8" spans="1:12" x14ac:dyDescent="0.25">
      <c r="D8" s="147">
        <v>300</v>
      </c>
      <c r="E8" s="147">
        <v>600</v>
      </c>
      <c r="F8" s="147">
        <v>900</v>
      </c>
      <c r="H8" t="s">
        <v>205</v>
      </c>
      <c r="I8">
        <v>3000</v>
      </c>
    </row>
    <row r="10" spans="1:12" x14ac:dyDescent="0.25">
      <c r="D10" s="218" t="s">
        <v>161</v>
      </c>
      <c r="E10" s="218"/>
      <c r="F10" s="218"/>
    </row>
    <row r="11" spans="1:12" x14ac:dyDescent="0.25">
      <c r="D11" s="148" t="s">
        <v>154</v>
      </c>
      <c r="E11" s="148" t="s">
        <v>155</v>
      </c>
      <c r="F11" s="148" t="s">
        <v>156</v>
      </c>
    </row>
    <row r="12" spans="1:12" x14ac:dyDescent="0.25">
      <c r="D12" s="151">
        <f>D8*1630*$I$8/1000</f>
        <v>1467000</v>
      </c>
      <c r="E12" s="151">
        <f t="shared" ref="E12:F12" si="0">E8*1630*$I$8/1000</f>
        <v>2934000</v>
      </c>
      <c r="F12" s="151">
        <f t="shared" si="0"/>
        <v>4401000</v>
      </c>
    </row>
  </sheetData>
  <mergeCells count="4">
    <mergeCell ref="A1:L1"/>
    <mergeCell ref="A3:L3"/>
    <mergeCell ref="D6:F6"/>
    <mergeCell ref="D10:F1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2" workbookViewId="0">
      <selection activeCell="A3" sqref="A3:I3"/>
    </sheetView>
  </sheetViews>
  <sheetFormatPr baseColWidth="10" defaultRowHeight="15" x14ac:dyDescent="0.25"/>
  <sheetData>
    <row r="1" spans="1:12" ht="27.75" x14ac:dyDescent="0.25">
      <c r="A1" s="251" t="s">
        <v>17</v>
      </c>
      <c r="B1" s="251"/>
      <c r="C1" s="251"/>
      <c r="D1" s="251"/>
      <c r="E1" s="251"/>
      <c r="F1" s="251"/>
      <c r="G1" s="251"/>
      <c r="H1" s="251"/>
      <c r="I1" s="251"/>
      <c r="J1" s="251"/>
      <c r="K1" s="251"/>
      <c r="L1" s="251"/>
    </row>
    <row r="3" spans="1:12" ht="75.75" customHeight="1" x14ac:dyDescent="0.25">
      <c r="A3" s="252" t="s">
        <v>18</v>
      </c>
      <c r="B3" s="253"/>
      <c r="C3" s="253"/>
      <c r="D3" s="253"/>
      <c r="E3" s="253"/>
      <c r="F3" s="253"/>
      <c r="G3" s="253"/>
      <c r="H3" s="253"/>
      <c r="I3" s="254"/>
    </row>
  </sheetData>
  <mergeCells count="2">
    <mergeCell ref="A1:L1"/>
    <mergeCell ref="A3:I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C11" sqref="C11"/>
    </sheetView>
  </sheetViews>
  <sheetFormatPr baseColWidth="10" defaultRowHeight="15" x14ac:dyDescent="0.25"/>
  <cols>
    <col min="1" max="1" width="22.28515625" customWidth="1"/>
    <col min="2" max="2" width="13" customWidth="1"/>
    <col min="3" max="3" width="14.28515625" customWidth="1"/>
    <col min="4" max="4" width="16.7109375" customWidth="1"/>
    <col min="6" max="6" width="14.140625" bestFit="1" customWidth="1"/>
  </cols>
  <sheetData>
    <row r="1" spans="1:13" ht="27.75" x14ac:dyDescent="0.25">
      <c r="A1" s="214" t="s">
        <v>19</v>
      </c>
      <c r="B1" s="214"/>
      <c r="C1" s="214"/>
      <c r="D1" s="214"/>
      <c r="E1" s="214"/>
      <c r="F1" s="214"/>
      <c r="G1" s="214"/>
      <c r="H1" s="214"/>
      <c r="I1" s="214"/>
      <c r="J1" s="214"/>
      <c r="K1" s="214"/>
      <c r="L1" s="214"/>
      <c r="M1" s="214"/>
    </row>
    <row r="4" spans="1:13" x14ac:dyDescent="0.25">
      <c r="A4" s="197" t="s">
        <v>207</v>
      </c>
      <c r="B4" s="198" t="s">
        <v>208</v>
      </c>
      <c r="C4" s="198" t="s">
        <v>209</v>
      </c>
      <c r="D4" s="198" t="s">
        <v>188</v>
      </c>
      <c r="E4" s="198" t="s">
        <v>186</v>
      </c>
    </row>
    <row r="5" spans="1:13" hidden="1" x14ac:dyDescent="0.25">
      <c r="A5" s="157" t="s">
        <v>210</v>
      </c>
      <c r="B5" s="199">
        <v>0</v>
      </c>
      <c r="C5" s="199">
        <v>1000</v>
      </c>
      <c r="D5" s="199">
        <v>1500</v>
      </c>
      <c r="E5" s="157"/>
    </row>
    <row r="6" spans="1:13" ht="45" hidden="1" x14ac:dyDescent="0.25">
      <c r="A6" s="181" t="s">
        <v>211</v>
      </c>
      <c r="B6" s="200">
        <v>3500</v>
      </c>
      <c r="C6" s="201">
        <v>3500</v>
      </c>
      <c r="D6" s="201">
        <v>3500</v>
      </c>
      <c r="E6" s="157"/>
    </row>
    <row r="7" spans="1:13" hidden="1" x14ac:dyDescent="0.25">
      <c r="A7" s="181" t="s">
        <v>215</v>
      </c>
      <c r="B7" s="200">
        <f>B6*B5</f>
        <v>0</v>
      </c>
      <c r="C7" s="200">
        <f t="shared" ref="C7:D7" si="0">C6*C5</f>
        <v>3500000</v>
      </c>
      <c r="D7" s="201">
        <f t="shared" si="0"/>
        <v>5250000</v>
      </c>
      <c r="E7" s="157"/>
    </row>
    <row r="8" spans="1:13" ht="45" x14ac:dyDescent="0.25">
      <c r="A8" s="181" t="s">
        <v>212</v>
      </c>
      <c r="B8" s="202">
        <v>360000</v>
      </c>
      <c r="C8" s="202">
        <v>360000</v>
      </c>
      <c r="D8" s="202">
        <v>360000</v>
      </c>
      <c r="E8" s="157"/>
    </row>
    <row r="9" spans="1:13" x14ac:dyDescent="0.25">
      <c r="A9" s="181" t="s">
        <v>214</v>
      </c>
      <c r="B9" s="202">
        <f>B8*17%</f>
        <v>61200.000000000007</v>
      </c>
      <c r="C9" s="202">
        <f t="shared" ref="C9:D9" si="1">C8*17%</f>
        <v>61200.000000000007</v>
      </c>
      <c r="D9" s="202">
        <f t="shared" si="1"/>
        <v>61200.000000000007</v>
      </c>
      <c r="E9" s="157"/>
    </row>
    <row r="10" spans="1:13" x14ac:dyDescent="0.25">
      <c r="A10" s="203" t="s">
        <v>213</v>
      </c>
      <c r="B10" s="204">
        <f>B8+B9</f>
        <v>421200</v>
      </c>
      <c r="C10" s="204">
        <f t="shared" ref="C10:D10" si="2">C8+C9</f>
        <v>421200</v>
      </c>
      <c r="D10" s="204">
        <f t="shared" si="2"/>
        <v>421200</v>
      </c>
      <c r="E10" s="205" t="s">
        <v>191</v>
      </c>
    </row>
  </sheetData>
  <mergeCells count="1">
    <mergeCell ref="A1:M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election activeCell="D7" sqref="D7"/>
    </sheetView>
  </sheetViews>
  <sheetFormatPr baseColWidth="10" defaultRowHeight="15" x14ac:dyDescent="0.25"/>
  <sheetData>
    <row r="1" spans="1:12" ht="27.75" x14ac:dyDescent="0.25">
      <c r="A1" s="214" t="s">
        <v>20</v>
      </c>
      <c r="B1" s="214"/>
      <c r="C1" s="214"/>
      <c r="D1" s="214"/>
      <c r="E1" s="214"/>
      <c r="F1" s="214"/>
      <c r="G1" s="214"/>
      <c r="H1" s="214"/>
      <c r="I1" s="214"/>
      <c r="J1" s="214"/>
      <c r="K1" s="214"/>
      <c r="L1" s="214"/>
    </row>
  </sheetData>
  <mergeCells count="1">
    <mergeCell ref="A1:L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workbookViewId="0">
      <selection activeCell="A3" sqref="A3:I3"/>
    </sheetView>
  </sheetViews>
  <sheetFormatPr baseColWidth="10" defaultRowHeight="15" x14ac:dyDescent="0.25"/>
  <sheetData>
    <row r="1" spans="1:12" ht="27.75" x14ac:dyDescent="0.25">
      <c r="A1" s="214" t="s">
        <v>21</v>
      </c>
      <c r="B1" s="214"/>
      <c r="C1" s="214"/>
      <c r="D1" s="214"/>
      <c r="E1" s="214"/>
      <c r="F1" s="214"/>
      <c r="G1" s="214"/>
      <c r="H1" s="214"/>
      <c r="I1" s="214"/>
      <c r="J1" s="214"/>
      <c r="K1" s="214"/>
      <c r="L1" s="214"/>
    </row>
    <row r="3" spans="1:12" ht="99" customHeight="1" x14ac:dyDescent="0.25">
      <c r="A3" s="215" t="s">
        <v>22</v>
      </c>
      <c r="B3" s="216"/>
      <c r="C3" s="216"/>
      <c r="D3" s="216"/>
      <c r="E3" s="216"/>
      <c r="F3" s="216"/>
      <c r="G3" s="216"/>
      <c r="H3" s="216"/>
      <c r="I3" s="217"/>
    </row>
  </sheetData>
  <mergeCells count="2">
    <mergeCell ref="A1:L1"/>
    <mergeCell ref="A3:I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workbookViewId="0">
      <selection activeCell="A3" sqref="A3:I3"/>
    </sheetView>
  </sheetViews>
  <sheetFormatPr baseColWidth="10" defaultRowHeight="15" x14ac:dyDescent="0.25"/>
  <sheetData>
    <row r="1" spans="1:12" ht="27.75" x14ac:dyDescent="0.25">
      <c r="A1" s="251" t="s">
        <v>23</v>
      </c>
      <c r="B1" s="251"/>
      <c r="C1" s="251"/>
      <c r="D1" s="251"/>
      <c r="E1" s="251"/>
      <c r="F1" s="251"/>
      <c r="G1" s="251"/>
      <c r="H1" s="251"/>
      <c r="I1" s="251"/>
      <c r="J1" s="251"/>
      <c r="K1" s="251"/>
      <c r="L1" s="251"/>
    </row>
    <row r="3" spans="1:12" ht="141.75" customHeight="1" x14ac:dyDescent="0.25">
      <c r="A3" s="252" t="s">
        <v>24</v>
      </c>
      <c r="B3" s="253"/>
      <c r="C3" s="253"/>
      <c r="D3" s="253"/>
      <c r="E3" s="253"/>
      <c r="F3" s="253"/>
      <c r="G3" s="253"/>
      <c r="H3" s="253"/>
      <c r="I3" s="254"/>
    </row>
  </sheetData>
  <mergeCells count="2">
    <mergeCell ref="A1:L1"/>
    <mergeCell ref="A3:I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tabSelected="1" workbookViewId="0">
      <selection activeCell="J4" sqref="J4"/>
    </sheetView>
  </sheetViews>
  <sheetFormatPr baseColWidth="10" defaultRowHeight="15" x14ac:dyDescent="0.25"/>
  <cols>
    <col min="3" max="3" width="12.5703125" bestFit="1" customWidth="1"/>
    <col min="7" max="7" width="15.140625" bestFit="1" customWidth="1"/>
  </cols>
  <sheetData>
    <row r="1" spans="1:12" ht="27.75" x14ac:dyDescent="0.25">
      <c r="A1" s="255" t="s">
        <v>25</v>
      </c>
      <c r="B1" s="256"/>
      <c r="C1" s="256"/>
      <c r="D1" s="256"/>
      <c r="E1" s="256"/>
      <c r="F1" s="256"/>
      <c r="G1" s="256"/>
      <c r="H1" s="256"/>
      <c r="I1" s="256"/>
      <c r="J1" s="256"/>
      <c r="K1" s="256"/>
      <c r="L1" s="257"/>
    </row>
    <row r="3" spans="1:12" ht="108.75" customHeight="1" x14ac:dyDescent="0.25">
      <c r="A3" s="252" t="s">
        <v>26</v>
      </c>
      <c r="B3" s="253"/>
      <c r="C3" s="253"/>
      <c r="D3" s="253"/>
      <c r="E3" s="253"/>
      <c r="F3" s="253"/>
      <c r="G3" s="253"/>
      <c r="H3" s="253"/>
      <c r="I3" s="254"/>
    </row>
    <row r="5" spans="1:12" x14ac:dyDescent="0.25">
      <c r="C5" s="218" t="s">
        <v>153</v>
      </c>
      <c r="D5" s="218"/>
      <c r="E5" s="218"/>
      <c r="G5" t="s">
        <v>205</v>
      </c>
      <c r="H5">
        <v>3000</v>
      </c>
    </row>
    <row r="6" spans="1:12" x14ac:dyDescent="0.25">
      <c r="C6" s="148" t="s">
        <v>154</v>
      </c>
      <c r="D6" s="148" t="s">
        <v>155</v>
      </c>
      <c r="E6" s="148" t="s">
        <v>156</v>
      </c>
      <c r="G6" s="150"/>
    </row>
    <row r="7" spans="1:12" x14ac:dyDescent="0.25">
      <c r="C7" s="147">
        <v>30</v>
      </c>
      <c r="D7" s="147">
        <f>50</f>
        <v>50</v>
      </c>
      <c r="E7" s="147">
        <f>100</f>
        <v>100</v>
      </c>
    </row>
    <row r="8" spans="1:12" x14ac:dyDescent="0.25">
      <c r="G8" s="155"/>
    </row>
    <row r="9" spans="1:12" x14ac:dyDescent="0.25">
      <c r="C9" s="218" t="s">
        <v>161</v>
      </c>
      <c r="D9" s="218"/>
      <c r="E9" s="218"/>
    </row>
    <row r="10" spans="1:12" x14ac:dyDescent="0.25">
      <c r="C10" s="148" t="s">
        <v>154</v>
      </c>
      <c r="D10" s="148" t="s">
        <v>155</v>
      </c>
      <c r="E10" s="148" t="s">
        <v>156</v>
      </c>
      <c r="G10" s="155"/>
    </row>
    <row r="11" spans="1:12" x14ac:dyDescent="0.25">
      <c r="C11" s="151">
        <f>C7*4590*$H$5/1000</f>
        <v>413100</v>
      </c>
      <c r="D11" s="151">
        <f t="shared" ref="D11:E11" si="0">D7*4590*$H$5/1000</f>
        <v>688500</v>
      </c>
      <c r="E11" s="151">
        <f t="shared" si="0"/>
        <v>1377000</v>
      </c>
    </row>
  </sheetData>
  <mergeCells count="4">
    <mergeCell ref="A1:L1"/>
    <mergeCell ref="A3:I3"/>
    <mergeCell ref="C5:E5"/>
    <mergeCell ref="C9:E9"/>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9"/>
  <sheetViews>
    <sheetView topLeftCell="A31" workbookViewId="0">
      <selection activeCell="C42" sqref="C42:D42"/>
    </sheetView>
  </sheetViews>
  <sheetFormatPr baseColWidth="10" defaultRowHeight="15" x14ac:dyDescent="0.25"/>
  <cols>
    <col min="3" max="3" width="14.140625" bestFit="1" customWidth="1"/>
  </cols>
  <sheetData>
    <row r="1" spans="1:24" ht="27.75" x14ac:dyDescent="0.25">
      <c r="A1" s="255" t="s">
        <v>27</v>
      </c>
      <c r="B1" s="256"/>
      <c r="C1" s="256"/>
      <c r="D1" s="256"/>
      <c r="E1" s="256"/>
      <c r="F1" s="256"/>
      <c r="G1" s="256"/>
      <c r="H1" s="256"/>
      <c r="I1" s="256"/>
      <c r="J1" s="256"/>
      <c r="K1" s="256"/>
      <c r="L1" s="257"/>
    </row>
    <row r="3" spans="1:24" ht="111.75" customHeight="1" x14ac:dyDescent="0.25">
      <c r="A3" s="262" t="s">
        <v>28</v>
      </c>
      <c r="B3" s="263"/>
      <c r="C3" s="263"/>
      <c r="D3" s="263"/>
      <c r="E3" s="263"/>
      <c r="F3" s="263"/>
      <c r="G3" s="264"/>
    </row>
    <row r="5" spans="1:24" x14ac:dyDescent="0.25">
      <c r="A5" t="s">
        <v>166</v>
      </c>
    </row>
    <row r="6" spans="1:24" ht="15.75" x14ac:dyDescent="0.25">
      <c r="A6" t="s">
        <v>167</v>
      </c>
      <c r="G6" s="183"/>
      <c r="H6" s="184"/>
      <c r="I6" s="185"/>
      <c r="J6" s="186"/>
      <c r="K6" s="187"/>
      <c r="L6" s="188"/>
      <c r="M6" s="265"/>
      <c r="N6" s="261"/>
      <c r="O6" s="189"/>
      <c r="P6" s="190"/>
      <c r="Q6" s="189"/>
      <c r="R6" s="189"/>
      <c r="S6" s="189"/>
      <c r="T6" s="190"/>
      <c r="U6" s="261"/>
      <c r="V6" s="189"/>
      <c r="W6" s="189"/>
      <c r="X6" s="191"/>
    </row>
    <row r="7" spans="1:24" ht="15.75" x14ac:dyDescent="0.25">
      <c r="G7" s="183"/>
      <c r="H7" s="184"/>
      <c r="I7" s="185"/>
      <c r="J7" s="186"/>
      <c r="K7" s="187"/>
      <c r="L7" s="188"/>
      <c r="M7" s="265"/>
      <c r="N7" s="261"/>
      <c r="O7" s="189"/>
      <c r="P7" s="190"/>
      <c r="Q7" s="189"/>
      <c r="R7" s="189"/>
      <c r="S7" s="189"/>
      <c r="T7" s="190"/>
      <c r="U7" s="261"/>
      <c r="V7" s="189"/>
      <c r="W7" s="189"/>
      <c r="X7" s="191"/>
    </row>
    <row r="8" spans="1:24" ht="15.75" x14ac:dyDescent="0.25">
      <c r="A8" t="s">
        <v>168</v>
      </c>
      <c r="G8" s="183"/>
      <c r="H8" s="184"/>
      <c r="I8" s="185"/>
      <c r="J8" s="185"/>
      <c r="K8" s="187"/>
      <c r="L8" s="188"/>
      <c r="M8" s="184"/>
      <c r="N8" s="184"/>
      <c r="O8" s="184"/>
      <c r="P8" s="184"/>
      <c r="Q8" s="184"/>
      <c r="R8" s="184"/>
      <c r="S8" s="184"/>
      <c r="T8" s="184"/>
      <c r="U8" s="184"/>
      <c r="V8" s="184"/>
      <c r="W8" s="184"/>
      <c r="X8" s="191"/>
    </row>
    <row r="9" spans="1:24" x14ac:dyDescent="0.25">
      <c r="A9" t="s">
        <v>169</v>
      </c>
    </row>
    <row r="14" spans="1:24" x14ac:dyDescent="0.25">
      <c r="A14" s="168" t="s">
        <v>170</v>
      </c>
    </row>
    <row r="25" spans="1:2" x14ac:dyDescent="0.25">
      <c r="A25" t="s">
        <v>171</v>
      </c>
      <c r="B25" t="s">
        <v>172</v>
      </c>
    </row>
    <row r="26" spans="1:2" x14ac:dyDescent="0.25">
      <c r="A26" t="s">
        <v>173</v>
      </c>
      <c r="B26" t="s">
        <v>174</v>
      </c>
    </row>
    <row r="27" spans="1:2" x14ac:dyDescent="0.25">
      <c r="A27" t="s">
        <v>175</v>
      </c>
      <c r="B27" t="s">
        <v>176</v>
      </c>
    </row>
    <row r="28" spans="1:2" x14ac:dyDescent="0.25">
      <c r="A28" t="s">
        <v>177</v>
      </c>
      <c r="B28" t="s">
        <v>178</v>
      </c>
    </row>
    <row r="31" spans="1:2" x14ac:dyDescent="0.25">
      <c r="A31" s="168" t="s">
        <v>179</v>
      </c>
    </row>
    <row r="33" spans="1:8" x14ac:dyDescent="0.25">
      <c r="A33" s="168" t="s">
        <v>180</v>
      </c>
    </row>
    <row r="34" spans="1:8" x14ac:dyDescent="0.25">
      <c r="A34" s="168" t="s">
        <v>181</v>
      </c>
      <c r="C34" s="169">
        <v>3100</v>
      </c>
    </row>
    <row r="35" spans="1:8" x14ac:dyDescent="0.25">
      <c r="A35" s="168" t="s">
        <v>182</v>
      </c>
      <c r="C35" s="169">
        <v>135952</v>
      </c>
    </row>
    <row r="36" spans="1:8" x14ac:dyDescent="0.25">
      <c r="A36" s="168" t="s">
        <v>183</v>
      </c>
      <c r="C36" s="169">
        <f>C35*C34</f>
        <v>421451200</v>
      </c>
    </row>
    <row r="37" spans="1:8" x14ac:dyDescent="0.25">
      <c r="A37" s="170" t="s">
        <v>184</v>
      </c>
      <c r="C37" s="169"/>
    </row>
    <row r="39" spans="1:8" x14ac:dyDescent="0.25">
      <c r="B39" s="258" t="s">
        <v>185</v>
      </c>
      <c r="C39" s="259"/>
      <c r="D39" s="260"/>
      <c r="E39" s="147" t="s">
        <v>186</v>
      </c>
    </row>
    <row r="40" spans="1:8" x14ac:dyDescent="0.25">
      <c r="B40" s="171" t="s">
        <v>159</v>
      </c>
      <c r="C40" s="171" t="s">
        <v>187</v>
      </c>
      <c r="D40" s="171" t="s">
        <v>188</v>
      </c>
      <c r="E40" s="157"/>
    </row>
    <row r="41" spans="1:8" x14ac:dyDescent="0.25">
      <c r="A41" s="172" t="s">
        <v>189</v>
      </c>
      <c r="B41" s="173">
        <v>4</v>
      </c>
      <c r="C41" s="173">
        <v>8</v>
      </c>
      <c r="D41" s="173">
        <v>12</v>
      </c>
      <c r="E41" s="157"/>
      <c r="G41" s="193"/>
      <c r="H41" s="192"/>
    </row>
    <row r="42" spans="1:8" x14ac:dyDescent="0.25">
      <c r="A42" s="174" t="s">
        <v>190</v>
      </c>
      <c r="B42" s="175">
        <f>B41*$C$36/1000</f>
        <v>1685804.8</v>
      </c>
      <c r="C42" s="175">
        <f>C41*$C$36/1000</f>
        <v>3371609.6</v>
      </c>
      <c r="D42" s="175">
        <f t="shared" ref="D42" si="0">D41*$C$36/1000</f>
        <v>5057414.4000000004</v>
      </c>
      <c r="E42" s="157" t="s">
        <v>191</v>
      </c>
    </row>
    <row r="43" spans="1:8" x14ac:dyDescent="0.25">
      <c r="A43" s="177" t="s">
        <v>192</v>
      </c>
    </row>
    <row r="45" spans="1:8" x14ac:dyDescent="0.25">
      <c r="A45" s="168" t="s">
        <v>193</v>
      </c>
    </row>
    <row r="47" spans="1:8" x14ac:dyDescent="0.25">
      <c r="A47" s="168" t="s">
        <v>180</v>
      </c>
    </row>
    <row r="48" spans="1:8" x14ac:dyDescent="0.25">
      <c r="A48" s="168" t="s">
        <v>181</v>
      </c>
      <c r="C48" s="169">
        <v>3100</v>
      </c>
    </row>
    <row r="49" spans="1:4" x14ac:dyDescent="0.25">
      <c r="A49" s="168" t="s">
        <v>182</v>
      </c>
      <c r="C49" s="169">
        <v>98187</v>
      </c>
    </row>
    <row r="50" spans="1:4" x14ac:dyDescent="0.25">
      <c r="A50" s="168" t="s">
        <v>183</v>
      </c>
      <c r="C50" s="169">
        <f>C49*C48</f>
        <v>304379700</v>
      </c>
    </row>
    <row r="51" spans="1:4" x14ac:dyDescent="0.25">
      <c r="A51" s="170" t="s">
        <v>194</v>
      </c>
      <c r="C51" s="169"/>
    </row>
    <row r="53" spans="1:4" x14ac:dyDescent="0.25">
      <c r="B53" s="258" t="s">
        <v>195</v>
      </c>
      <c r="C53" s="259"/>
      <c r="D53" s="260"/>
    </row>
    <row r="54" spans="1:4" x14ac:dyDescent="0.25">
      <c r="B54" s="171" t="s">
        <v>159</v>
      </c>
      <c r="C54" s="171" t="s">
        <v>187</v>
      </c>
      <c r="D54" s="171" t="s">
        <v>188</v>
      </c>
    </row>
    <row r="55" spans="1:4" x14ac:dyDescent="0.25">
      <c r="A55" s="172" t="s">
        <v>189</v>
      </c>
      <c r="B55" s="173">
        <v>30</v>
      </c>
      <c r="C55" s="173">
        <v>30</v>
      </c>
      <c r="D55" s="173">
        <v>60</v>
      </c>
    </row>
    <row r="56" spans="1:4" x14ac:dyDescent="0.25">
      <c r="A56" s="174" t="s">
        <v>190</v>
      </c>
      <c r="B56" s="176">
        <f>B55*$C$46/1000</f>
        <v>0</v>
      </c>
      <c r="C56" s="176">
        <f>C55*$C$46/1000</f>
        <v>0</v>
      </c>
      <c r="D56" s="176">
        <f>D55*$C$46/1000</f>
        <v>0</v>
      </c>
    </row>
    <row r="57" spans="1:4" x14ac:dyDescent="0.25">
      <c r="A57" s="177" t="s">
        <v>192</v>
      </c>
    </row>
    <row r="59" spans="1:4" x14ac:dyDescent="0.25">
      <c r="A59" t="s">
        <v>196</v>
      </c>
    </row>
    <row r="60" spans="1:4" x14ac:dyDescent="0.25">
      <c r="A60" t="s">
        <v>197</v>
      </c>
    </row>
    <row r="61" spans="1:4" x14ac:dyDescent="0.25">
      <c r="A61" t="s">
        <v>198</v>
      </c>
      <c r="B61" s="169">
        <v>820000000</v>
      </c>
    </row>
    <row r="63" spans="1:4" x14ac:dyDescent="0.25">
      <c r="A63" t="s">
        <v>199</v>
      </c>
    </row>
    <row r="65" spans="1:5" x14ac:dyDescent="0.25">
      <c r="B65" s="178" t="s">
        <v>159</v>
      </c>
      <c r="C65" s="178" t="s">
        <v>187</v>
      </c>
      <c r="D65" s="178" t="s">
        <v>188</v>
      </c>
      <c r="E65" s="179" t="s">
        <v>186</v>
      </c>
    </row>
    <row r="66" spans="1:5" x14ac:dyDescent="0.25">
      <c r="A66" s="157" t="s">
        <v>200</v>
      </c>
      <c r="B66" s="180">
        <f>B42</f>
        <v>1685804.8</v>
      </c>
      <c r="C66" s="180">
        <f>C42</f>
        <v>3371609.6</v>
      </c>
      <c r="D66" s="180">
        <f>D42</f>
        <v>5057414.4000000004</v>
      </c>
      <c r="E66" s="157"/>
    </row>
    <row r="67" spans="1:5" ht="75" x14ac:dyDescent="0.25">
      <c r="A67" s="181" t="s">
        <v>201</v>
      </c>
      <c r="B67" s="180">
        <f>B56</f>
        <v>0</v>
      </c>
      <c r="C67" s="180">
        <f>C56</f>
        <v>0</v>
      </c>
      <c r="D67" s="180">
        <f>D56</f>
        <v>0</v>
      </c>
      <c r="E67" s="157"/>
    </row>
    <row r="68" spans="1:5" x14ac:dyDescent="0.25">
      <c r="A68" s="157" t="s">
        <v>202</v>
      </c>
      <c r="B68" s="180">
        <f>B61/1000</f>
        <v>820000</v>
      </c>
      <c r="C68" s="157"/>
      <c r="D68" s="157"/>
      <c r="E68" s="157"/>
    </row>
    <row r="69" spans="1:5" x14ac:dyDescent="0.25">
      <c r="A69" s="182" t="s">
        <v>34</v>
      </c>
      <c r="B69" s="180">
        <f>SUM(B66:B68)</f>
        <v>2505804.7999999998</v>
      </c>
      <c r="C69" s="180">
        <f>SUM(C66:C68)</f>
        <v>3371609.6</v>
      </c>
      <c r="D69" s="180">
        <f>SUM(D66:D68)</f>
        <v>5057414.4000000004</v>
      </c>
      <c r="E69" s="157" t="s">
        <v>203</v>
      </c>
    </row>
  </sheetData>
  <mergeCells count="7">
    <mergeCell ref="B39:D39"/>
    <mergeCell ref="B53:D53"/>
    <mergeCell ref="U6:U7"/>
    <mergeCell ref="A1:L1"/>
    <mergeCell ref="A3:G3"/>
    <mergeCell ref="M6:M7"/>
    <mergeCell ref="N6:N7"/>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B5" sqref="B5"/>
    </sheetView>
  </sheetViews>
  <sheetFormatPr baseColWidth="10" defaultRowHeight="15" x14ac:dyDescent="0.25"/>
  <sheetData>
    <row r="1" spans="1:23" ht="27.75" x14ac:dyDescent="0.25">
      <c r="A1" s="251" t="s">
        <v>29</v>
      </c>
      <c r="B1" s="251"/>
      <c r="C1" s="251"/>
      <c r="D1" s="251"/>
      <c r="E1" s="251"/>
      <c r="F1" s="251"/>
      <c r="G1" s="251"/>
      <c r="H1" s="251"/>
      <c r="I1" s="251"/>
      <c r="J1" s="251"/>
      <c r="K1" s="251"/>
      <c r="L1" s="251"/>
    </row>
    <row r="7" spans="1:23" ht="15.75" hidden="1" thickBot="1" x14ac:dyDescent="0.3"/>
    <row r="8" spans="1:23" ht="220.5" hidden="1" x14ac:dyDescent="0.25">
      <c r="A8" s="266" t="s">
        <v>38</v>
      </c>
      <c r="B8" s="8" t="s">
        <v>39</v>
      </c>
      <c r="C8" s="266" t="s">
        <v>40</v>
      </c>
      <c r="D8" s="12">
        <v>5200000</v>
      </c>
      <c r="E8" s="32" t="s">
        <v>41</v>
      </c>
      <c r="F8" s="33">
        <v>2</v>
      </c>
      <c r="G8" s="33">
        <v>18</v>
      </c>
      <c r="H8" s="34">
        <f t="shared" ref="H8:H13" si="0">D8*F8*G8</f>
        <v>187200000</v>
      </c>
      <c r="I8" s="35"/>
      <c r="J8" s="31" t="s">
        <v>42</v>
      </c>
      <c r="K8" s="36">
        <v>187200000</v>
      </c>
      <c r="L8" s="28"/>
      <c r="M8" s="14">
        <f>(126000+132300+138915)*1000</f>
        <v>397215000</v>
      </c>
      <c r="N8" s="13" t="s">
        <v>43</v>
      </c>
      <c r="O8" s="14"/>
      <c r="P8" s="14"/>
      <c r="Q8" s="42">
        <f>27237797064+27982553006+28438204066</f>
        <v>83658554136</v>
      </c>
      <c r="R8" s="13" t="s">
        <v>44</v>
      </c>
      <c r="S8" s="14"/>
      <c r="T8" s="14"/>
      <c r="U8" s="34">
        <f t="shared" ref="U8:U13" si="1">M8+O8+Q8+S8</f>
        <v>84055769136</v>
      </c>
      <c r="V8" s="34"/>
      <c r="W8" s="43"/>
    </row>
    <row r="9" spans="1:23" ht="94.5" hidden="1" x14ac:dyDescent="0.25">
      <c r="A9" s="267"/>
      <c r="B9" s="9" t="s">
        <v>45</v>
      </c>
      <c r="C9" s="267"/>
      <c r="D9" s="15">
        <v>2000000</v>
      </c>
      <c r="E9" s="44" t="s">
        <v>46</v>
      </c>
      <c r="F9" s="45">
        <v>1</v>
      </c>
      <c r="G9" s="45">
        <v>18</v>
      </c>
      <c r="H9" s="46">
        <f t="shared" si="0"/>
        <v>36000000</v>
      </c>
      <c r="I9" s="47"/>
      <c r="J9" s="18" t="s">
        <v>42</v>
      </c>
      <c r="K9" s="48">
        <v>36000000</v>
      </c>
      <c r="L9" s="29"/>
      <c r="M9" s="16">
        <f xml:space="preserve"> (315106+330860+347403)*1000</f>
        <v>993369000</v>
      </c>
      <c r="N9" s="17" t="s">
        <v>47</v>
      </c>
      <c r="O9" s="16"/>
      <c r="P9" s="16"/>
      <c r="Q9" s="49"/>
      <c r="R9" s="17"/>
      <c r="S9" s="16"/>
      <c r="T9" s="16"/>
      <c r="U9" s="16">
        <f t="shared" si="1"/>
        <v>993369000</v>
      </c>
      <c r="V9" s="46"/>
      <c r="W9" s="50"/>
    </row>
    <row r="10" spans="1:23" ht="78.75" hidden="1" x14ac:dyDescent="0.25">
      <c r="A10" s="267"/>
      <c r="B10" s="9" t="s">
        <v>48</v>
      </c>
      <c r="C10" s="267"/>
      <c r="D10" s="15">
        <v>1000000</v>
      </c>
      <c r="E10" s="44" t="s">
        <v>36</v>
      </c>
      <c r="F10" s="45">
        <v>1</v>
      </c>
      <c r="G10" s="45">
        <v>18</v>
      </c>
      <c r="H10" s="46">
        <f t="shared" si="0"/>
        <v>18000000</v>
      </c>
      <c r="I10" s="47"/>
      <c r="J10" s="18"/>
      <c r="K10" s="48">
        <v>18000000</v>
      </c>
      <c r="L10" s="29"/>
      <c r="M10" s="16"/>
      <c r="N10" s="17"/>
      <c r="O10" s="16"/>
      <c r="P10" s="16"/>
      <c r="Q10" s="49"/>
      <c r="R10" s="17"/>
      <c r="S10" s="16"/>
      <c r="T10" s="16"/>
      <c r="U10" s="16">
        <f t="shared" si="1"/>
        <v>0</v>
      </c>
      <c r="V10" s="46"/>
      <c r="W10" s="50"/>
    </row>
    <row r="11" spans="1:23" ht="110.25" hidden="1" x14ac:dyDescent="0.25">
      <c r="A11" s="267"/>
      <c r="B11" s="9" t="s">
        <v>49</v>
      </c>
      <c r="C11" s="267"/>
      <c r="D11" s="15">
        <v>98000000</v>
      </c>
      <c r="E11" s="44" t="s">
        <v>50</v>
      </c>
      <c r="F11" s="45">
        <v>1</v>
      </c>
      <c r="G11" s="45">
        <v>1</v>
      </c>
      <c r="H11" s="46">
        <f t="shared" si="0"/>
        <v>98000000</v>
      </c>
      <c r="I11" s="47"/>
      <c r="J11" s="232" t="s">
        <v>51</v>
      </c>
      <c r="K11" s="48">
        <v>98000000</v>
      </c>
      <c r="L11" s="29"/>
      <c r="M11" s="16"/>
      <c r="N11" s="17"/>
      <c r="O11" s="16"/>
      <c r="P11" s="16"/>
      <c r="Q11" s="49"/>
      <c r="R11" s="17"/>
      <c r="S11" s="16"/>
      <c r="T11" s="16"/>
      <c r="U11" s="16">
        <f t="shared" si="1"/>
        <v>0</v>
      </c>
      <c r="V11" s="46"/>
      <c r="W11" s="50"/>
    </row>
    <row r="12" spans="1:23" ht="189" hidden="1" x14ac:dyDescent="0.25">
      <c r="A12" s="267"/>
      <c r="B12" s="9" t="s">
        <v>52</v>
      </c>
      <c r="C12" s="267"/>
      <c r="D12" s="15">
        <v>13500000</v>
      </c>
      <c r="E12" s="44" t="s">
        <v>37</v>
      </c>
      <c r="F12" s="45">
        <v>3</v>
      </c>
      <c r="G12" s="45">
        <v>1</v>
      </c>
      <c r="H12" s="46">
        <f t="shared" si="0"/>
        <v>40500000</v>
      </c>
      <c r="I12" s="51" t="s">
        <v>53</v>
      </c>
      <c r="J12" s="232"/>
      <c r="K12" s="48">
        <v>40500000</v>
      </c>
      <c r="L12" s="29"/>
      <c r="M12" s="16"/>
      <c r="N12" s="17"/>
      <c r="O12" s="16"/>
      <c r="P12" s="16"/>
      <c r="Q12" s="49"/>
      <c r="R12" s="17"/>
      <c r="S12" s="16"/>
      <c r="T12" s="16"/>
      <c r="U12" s="16">
        <f t="shared" si="1"/>
        <v>0</v>
      </c>
      <c r="V12" s="46"/>
      <c r="W12" s="50"/>
    </row>
    <row r="13" spans="1:23" ht="174" hidden="1" thickBot="1" x14ac:dyDescent="0.3">
      <c r="A13" s="268"/>
      <c r="B13" s="10" t="s">
        <v>54</v>
      </c>
      <c r="C13" s="268"/>
      <c r="D13" s="19">
        <v>5200000</v>
      </c>
      <c r="E13" s="37" t="s">
        <v>41</v>
      </c>
      <c r="F13" s="38">
        <v>2</v>
      </c>
      <c r="G13" s="38">
        <v>18</v>
      </c>
      <c r="H13" s="39">
        <f t="shared" si="0"/>
        <v>187200000</v>
      </c>
      <c r="I13" s="40"/>
      <c r="J13" s="20" t="s">
        <v>55</v>
      </c>
      <c r="K13" s="41">
        <v>187200000</v>
      </c>
      <c r="L13" s="30"/>
      <c r="M13" s="21"/>
      <c r="N13" s="21"/>
      <c r="O13" s="21"/>
      <c r="P13" s="21"/>
      <c r="Q13" s="21"/>
      <c r="R13" s="21"/>
      <c r="S13" s="21"/>
      <c r="T13" s="21"/>
      <c r="U13" s="21">
        <f t="shared" si="1"/>
        <v>0</v>
      </c>
      <c r="V13" s="39"/>
      <c r="W13" s="52"/>
    </row>
    <row r="14" spans="1:23" ht="16.5" hidden="1" thickBot="1" x14ac:dyDescent="0.3">
      <c r="A14" s="11">
        <f>SUM(H8:H13)</f>
        <v>566900000</v>
      </c>
      <c r="B14" s="22"/>
      <c r="C14" s="22"/>
      <c r="D14" s="23"/>
      <c r="E14" s="24"/>
      <c r="F14" s="25"/>
      <c r="G14" s="25"/>
      <c r="H14" s="7"/>
      <c r="I14" s="22"/>
      <c r="J14" s="22"/>
      <c r="K14" s="26"/>
      <c r="L14" s="27"/>
      <c r="M14" s="7"/>
      <c r="N14" s="7"/>
      <c r="O14" s="7"/>
      <c r="P14" s="7"/>
      <c r="Q14" s="7"/>
      <c r="R14" s="7"/>
      <c r="S14" s="7"/>
      <c r="T14" s="7"/>
      <c r="U14" s="7">
        <f>SUM(U8:U13)</f>
        <v>85049138136</v>
      </c>
      <c r="V14" s="7"/>
      <c r="W14" s="7">
        <f>U14-A14</f>
        <v>84482238136</v>
      </c>
    </row>
    <row r="15" spans="1:23" hidden="1" x14ac:dyDescent="0.25"/>
  </sheetData>
  <mergeCells count="4">
    <mergeCell ref="A1:L1"/>
    <mergeCell ref="A8:A13"/>
    <mergeCell ref="C8:C13"/>
    <mergeCell ref="J11:J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
  <sheetViews>
    <sheetView workbookViewId="0">
      <selection activeCell="B3" sqref="B3"/>
    </sheetView>
  </sheetViews>
  <sheetFormatPr baseColWidth="10" defaultRowHeight="15" x14ac:dyDescent="0.25"/>
  <sheetData>
    <row r="1" spans="1:12" ht="27.75" x14ac:dyDescent="0.25">
      <c r="A1" s="214" t="s">
        <v>1</v>
      </c>
      <c r="B1" s="214"/>
      <c r="C1" s="214"/>
      <c r="D1" s="214"/>
      <c r="E1" s="214"/>
      <c r="F1" s="214"/>
      <c r="G1" s="214"/>
      <c r="H1" s="214"/>
      <c r="I1" s="214"/>
      <c r="J1" s="214"/>
      <c r="K1" s="214"/>
      <c r="L1" s="214"/>
    </row>
  </sheetData>
  <mergeCells count="1">
    <mergeCell ref="A1:L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workbookViewId="0">
      <selection activeCell="G9" sqref="G9"/>
    </sheetView>
  </sheetViews>
  <sheetFormatPr baseColWidth="10" defaultRowHeight="15" x14ac:dyDescent="0.25"/>
  <sheetData>
    <row r="1" spans="1:12" ht="27.75" x14ac:dyDescent="0.25">
      <c r="A1" s="251" t="s">
        <v>30</v>
      </c>
      <c r="B1" s="251"/>
      <c r="C1" s="251"/>
      <c r="D1" s="251"/>
      <c r="E1" s="251"/>
      <c r="F1" s="251"/>
      <c r="G1" s="251"/>
      <c r="H1" s="251"/>
      <c r="I1" s="251"/>
      <c r="J1" s="251"/>
      <c r="K1" s="251"/>
      <c r="L1" s="251"/>
    </row>
    <row r="3" spans="1:12" ht="55.5" customHeight="1" x14ac:dyDescent="0.25">
      <c r="A3" s="269" t="s">
        <v>31</v>
      </c>
      <c r="B3" s="270"/>
      <c r="C3" s="270"/>
      <c r="D3" s="270"/>
      <c r="E3" s="270"/>
      <c r="F3" s="270"/>
      <c r="G3" s="270"/>
      <c r="H3" s="270"/>
      <c r="I3" s="271"/>
    </row>
  </sheetData>
  <mergeCells count="2">
    <mergeCell ref="A1:L1"/>
    <mergeCell ref="A3:I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workbookViewId="0">
      <selection activeCell="F5" sqref="F5:G5"/>
    </sheetView>
  </sheetViews>
  <sheetFormatPr baseColWidth="10" defaultRowHeight="15" x14ac:dyDescent="0.25"/>
  <cols>
    <col min="1" max="1" width="20.140625" bestFit="1" customWidth="1"/>
    <col min="2" max="2" width="12.5703125" bestFit="1" customWidth="1"/>
  </cols>
  <sheetData>
    <row r="1" spans="1:12" ht="27.75" x14ac:dyDescent="0.25">
      <c r="A1" s="214" t="s">
        <v>2</v>
      </c>
      <c r="B1" s="214"/>
      <c r="C1" s="214"/>
      <c r="D1" s="214"/>
      <c r="E1" s="214"/>
      <c r="F1" s="214"/>
      <c r="G1" s="214"/>
      <c r="H1" s="214"/>
      <c r="I1" s="214"/>
      <c r="J1" s="214"/>
      <c r="K1" s="214"/>
      <c r="L1" s="214"/>
    </row>
    <row r="2" spans="1:12" ht="86.25" customHeight="1" x14ac:dyDescent="0.25">
      <c r="A2" s="215" t="s">
        <v>3</v>
      </c>
      <c r="B2" s="216"/>
      <c r="C2" s="216"/>
      <c r="D2" s="216"/>
      <c r="E2" s="216"/>
      <c r="F2" s="216"/>
      <c r="G2" s="216"/>
      <c r="H2" s="216"/>
      <c r="I2" s="217"/>
    </row>
    <row r="5" spans="1:12" x14ac:dyDescent="0.25">
      <c r="B5" s="218" t="s">
        <v>204</v>
      </c>
      <c r="C5" s="218"/>
      <c r="D5" s="218"/>
      <c r="F5" t="s">
        <v>205</v>
      </c>
      <c r="G5">
        <v>3000</v>
      </c>
    </row>
    <row r="6" spans="1:12" x14ac:dyDescent="0.25">
      <c r="B6" s="148" t="s">
        <v>154</v>
      </c>
      <c r="C6" s="148" t="s">
        <v>155</v>
      </c>
      <c r="D6" s="148" t="s">
        <v>156</v>
      </c>
      <c r="F6" s="196" t="s">
        <v>206</v>
      </c>
      <c r="G6">
        <v>3300</v>
      </c>
    </row>
    <row r="7" spans="1:12" x14ac:dyDescent="0.25">
      <c r="B7" s="158">
        <f>1400</f>
        <v>1400</v>
      </c>
      <c r="C7" s="195">
        <v>1500</v>
      </c>
      <c r="D7" s="147">
        <v>1800</v>
      </c>
    </row>
    <row r="9" spans="1:12" x14ac:dyDescent="0.25">
      <c r="B9" s="218" t="s">
        <v>161</v>
      </c>
      <c r="C9" s="218"/>
      <c r="D9" s="218"/>
    </row>
    <row r="10" spans="1:12" x14ac:dyDescent="0.25">
      <c r="A10" s="149"/>
      <c r="B10" s="148" t="s">
        <v>154</v>
      </c>
      <c r="C10" s="148" t="s">
        <v>155</v>
      </c>
      <c r="D10" s="148" t="s">
        <v>156</v>
      </c>
    </row>
    <row r="11" spans="1:12" x14ac:dyDescent="0.25">
      <c r="A11" s="194"/>
      <c r="B11" s="151">
        <f>B7*100*$G$5/1000</f>
        <v>420000</v>
      </c>
      <c r="C11" s="151">
        <f t="shared" ref="C11:D11" si="0">C7*100*$G$5/1000</f>
        <v>450000</v>
      </c>
      <c r="D11" s="151">
        <f t="shared" si="0"/>
        <v>540000</v>
      </c>
    </row>
    <row r="12" spans="1:12" x14ac:dyDescent="0.25">
      <c r="B12" s="218" t="s">
        <v>162</v>
      </c>
      <c r="C12" s="218"/>
      <c r="D12" s="218"/>
    </row>
    <row r="13" spans="1:12" x14ac:dyDescent="0.25">
      <c r="B13" s="148" t="s">
        <v>154</v>
      </c>
      <c r="C13" s="148" t="s">
        <v>155</v>
      </c>
      <c r="D13" s="148" t="s">
        <v>156</v>
      </c>
    </row>
    <row r="14" spans="1:12" x14ac:dyDescent="0.25">
      <c r="B14" s="151">
        <f>B7*0.1*$G$6</f>
        <v>462000</v>
      </c>
      <c r="C14" s="151">
        <f t="shared" ref="C14:D14" si="1">C7*0.1*$G$6</f>
        <v>495000</v>
      </c>
      <c r="D14" s="151">
        <f t="shared" si="1"/>
        <v>594000</v>
      </c>
    </row>
  </sheetData>
  <mergeCells count="5">
    <mergeCell ref="A1:L1"/>
    <mergeCell ref="A2:I2"/>
    <mergeCell ref="B5:D5"/>
    <mergeCell ref="B9:D9"/>
    <mergeCell ref="B12:D1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topLeftCell="A24" workbookViewId="0">
      <selection activeCell="A26" sqref="A26:D26"/>
    </sheetView>
  </sheetViews>
  <sheetFormatPr baseColWidth="10" defaultRowHeight="15" x14ac:dyDescent="0.25"/>
  <cols>
    <col min="4" max="4" width="13.7109375" bestFit="1" customWidth="1"/>
  </cols>
  <sheetData>
    <row r="1" spans="1:12" ht="27.75" x14ac:dyDescent="0.25">
      <c r="A1" s="214" t="s">
        <v>4</v>
      </c>
      <c r="B1" s="214"/>
      <c r="C1" s="214"/>
      <c r="D1" s="214"/>
      <c r="E1" s="214"/>
      <c r="F1" s="214"/>
      <c r="G1" s="214"/>
      <c r="H1" s="214"/>
      <c r="I1" s="214"/>
      <c r="J1" s="214"/>
      <c r="K1" s="214"/>
      <c r="L1" s="214"/>
    </row>
    <row r="3" spans="1:12" ht="138.75" hidden="1" customHeight="1" x14ac:dyDescent="0.25">
      <c r="A3" s="215" t="s">
        <v>5</v>
      </c>
      <c r="B3" s="216"/>
      <c r="C3" s="216"/>
      <c r="D3" s="216"/>
      <c r="E3" s="216"/>
      <c r="F3" s="216"/>
      <c r="G3" s="216"/>
      <c r="H3" s="216"/>
      <c r="I3" s="217"/>
    </row>
    <row r="4" spans="1:12" s="75" customFormat="1" x14ac:dyDescent="0.25"/>
    <row r="5" spans="1:12" s="75" customFormat="1" x14ac:dyDescent="0.25"/>
    <row r="6" spans="1:12" s="75" customFormat="1" x14ac:dyDescent="0.25"/>
    <row r="7" spans="1:12" s="75" customFormat="1" x14ac:dyDescent="0.25"/>
    <row r="8" spans="1:12" s="75" customFormat="1" x14ac:dyDescent="0.25"/>
    <row r="9" spans="1:12" s="75" customFormat="1" x14ac:dyDescent="0.25"/>
    <row r="10" spans="1:12" s="75" customFormat="1" x14ac:dyDescent="0.25">
      <c r="F10" s="76"/>
    </row>
    <row r="11" spans="1:12" s="75" customFormat="1" x14ac:dyDescent="0.25"/>
    <row r="12" spans="1:12" s="75" customFormat="1" x14ac:dyDescent="0.25"/>
    <row r="13" spans="1:12" s="75" customFormat="1" x14ac:dyDescent="0.25"/>
    <row r="14" spans="1:12" s="75" customFormat="1" x14ac:dyDescent="0.25"/>
    <row r="15" spans="1:12" s="75" customFormat="1" x14ac:dyDescent="0.25"/>
    <row r="16" spans="1:12" s="75" customFormat="1" x14ac:dyDescent="0.25"/>
    <row r="17" spans="1:4" s="75" customFormat="1" x14ac:dyDescent="0.25"/>
    <row r="18" spans="1:4" s="75" customFormat="1" x14ac:dyDescent="0.25"/>
    <row r="19" spans="1:4" s="75" customFormat="1" x14ac:dyDescent="0.25"/>
    <row r="20" spans="1:4" s="75" customFormat="1" x14ac:dyDescent="0.25"/>
    <row r="21" spans="1:4" s="75" customFormat="1" x14ac:dyDescent="0.25"/>
    <row r="22" spans="1:4" s="75" customFormat="1" x14ac:dyDescent="0.25"/>
    <row r="23" spans="1:4" s="75" customFormat="1" x14ac:dyDescent="0.25"/>
    <row r="24" spans="1:4" x14ac:dyDescent="0.25">
      <c r="A24" t="s">
        <v>64</v>
      </c>
    </row>
    <row r="25" spans="1:4" ht="15.75" thickBot="1" x14ac:dyDescent="0.3"/>
    <row r="26" spans="1:4" ht="26.25" thickBot="1" x14ac:dyDescent="0.3">
      <c r="A26" s="64" t="s">
        <v>65</v>
      </c>
      <c r="B26" s="65" t="s">
        <v>66</v>
      </c>
      <c r="C26" s="65" t="s">
        <v>67</v>
      </c>
      <c r="D26" s="65" t="s">
        <v>68</v>
      </c>
    </row>
    <row r="27" spans="1:4" ht="15.75" thickBot="1" x14ac:dyDescent="0.3">
      <c r="A27" s="221" t="s">
        <v>69</v>
      </c>
      <c r="B27" s="222"/>
      <c r="C27" s="222"/>
      <c r="D27" s="223"/>
    </row>
    <row r="28" spans="1:4" ht="51.75" thickBot="1" x14ac:dyDescent="0.3">
      <c r="A28" s="60" t="s">
        <v>60</v>
      </c>
      <c r="B28" s="61" t="s">
        <v>70</v>
      </c>
      <c r="C28" s="61">
        <v>100</v>
      </c>
      <c r="D28" s="62">
        <v>17187599</v>
      </c>
    </row>
    <row r="29" spans="1:4" ht="51.75" thickBot="1" x14ac:dyDescent="0.3">
      <c r="A29" s="60" t="s">
        <v>61</v>
      </c>
      <c r="B29" s="61" t="s">
        <v>70</v>
      </c>
      <c r="C29" s="61">
        <v>100</v>
      </c>
      <c r="D29" s="62">
        <v>161230188</v>
      </c>
    </row>
    <row r="30" spans="1:4" ht="39" thickBot="1" x14ac:dyDescent="0.3">
      <c r="A30" s="60" t="s">
        <v>71</v>
      </c>
      <c r="B30" s="61" t="s">
        <v>70</v>
      </c>
      <c r="C30" s="61">
        <v>77.900000000000006</v>
      </c>
      <c r="D30" s="62">
        <v>491503027</v>
      </c>
    </row>
    <row r="31" spans="1:4" ht="15.75" thickBot="1" x14ac:dyDescent="0.3">
      <c r="A31" s="60" t="s">
        <v>62</v>
      </c>
      <c r="B31" s="61" t="s">
        <v>70</v>
      </c>
      <c r="C31" s="61">
        <v>100</v>
      </c>
      <c r="D31" s="62">
        <v>129588792</v>
      </c>
    </row>
    <row r="32" spans="1:4" ht="39" thickBot="1" x14ac:dyDescent="0.3">
      <c r="A32" s="60" t="s">
        <v>63</v>
      </c>
      <c r="B32" s="61" t="s">
        <v>70</v>
      </c>
      <c r="C32" s="61">
        <v>100</v>
      </c>
      <c r="D32" s="62">
        <v>390959105</v>
      </c>
    </row>
    <row r="33" spans="1:4" ht="15.75" thickBot="1" x14ac:dyDescent="0.3">
      <c r="A33" s="66" t="s">
        <v>72</v>
      </c>
      <c r="B33" s="67" t="s">
        <v>70</v>
      </c>
      <c r="C33" s="67">
        <v>0</v>
      </c>
      <c r="D33" s="68">
        <v>213257841</v>
      </c>
    </row>
    <row r="34" spans="1:4" ht="51.75" thickBot="1" x14ac:dyDescent="0.3">
      <c r="A34" s="69" t="s">
        <v>73</v>
      </c>
      <c r="B34" s="70"/>
      <c r="C34" s="70"/>
      <c r="D34" s="71">
        <v>1403726553</v>
      </c>
    </row>
    <row r="35" spans="1:4" ht="15.75" thickBot="1" x14ac:dyDescent="0.3">
      <c r="A35" s="221" t="s">
        <v>74</v>
      </c>
      <c r="B35" s="222"/>
      <c r="C35" s="222"/>
      <c r="D35" s="223"/>
    </row>
    <row r="36" spans="1:4" ht="15.75" thickBot="1" x14ac:dyDescent="0.3">
      <c r="A36" s="66" t="s">
        <v>75</v>
      </c>
      <c r="B36" s="67" t="s">
        <v>76</v>
      </c>
      <c r="C36" s="67">
        <v>865</v>
      </c>
      <c r="D36" s="68">
        <v>1391028125</v>
      </c>
    </row>
    <row r="37" spans="1:4" ht="26.25" thickBot="1" x14ac:dyDescent="0.3">
      <c r="A37" s="69" t="s">
        <v>77</v>
      </c>
      <c r="B37" s="72"/>
      <c r="C37" s="72"/>
      <c r="D37" s="71">
        <v>1391028125</v>
      </c>
    </row>
    <row r="38" spans="1:4" ht="15.75" thickBot="1" x14ac:dyDescent="0.3">
      <c r="A38" s="221" t="s">
        <v>78</v>
      </c>
      <c r="B38" s="222"/>
      <c r="C38" s="222"/>
      <c r="D38" s="223"/>
    </row>
    <row r="39" spans="1:4" ht="26.25" thickBot="1" x14ac:dyDescent="0.3">
      <c r="A39" s="60" t="s">
        <v>79</v>
      </c>
      <c r="B39" s="61" t="s">
        <v>80</v>
      </c>
      <c r="C39" s="61">
        <v>15</v>
      </c>
      <c r="D39" s="62">
        <v>162000000</v>
      </c>
    </row>
    <row r="40" spans="1:4" ht="15.75" thickBot="1" x14ac:dyDescent="0.3">
      <c r="A40" s="60" t="s">
        <v>35</v>
      </c>
      <c r="B40" s="61" t="s">
        <v>81</v>
      </c>
      <c r="C40" s="61">
        <v>48</v>
      </c>
      <c r="D40" s="62">
        <v>19200000</v>
      </c>
    </row>
    <row r="41" spans="1:4" ht="26.25" thickBot="1" x14ac:dyDescent="0.3">
      <c r="A41" s="60" t="s">
        <v>82</v>
      </c>
      <c r="B41" s="61" t="s">
        <v>83</v>
      </c>
      <c r="C41" s="61">
        <v>12</v>
      </c>
      <c r="D41" s="62">
        <v>9600000</v>
      </c>
    </row>
    <row r="42" spans="1:4" ht="26.25" thickBot="1" x14ac:dyDescent="0.3">
      <c r="A42" s="66" t="s">
        <v>84</v>
      </c>
      <c r="B42" s="67" t="s">
        <v>85</v>
      </c>
      <c r="C42" s="67">
        <v>3</v>
      </c>
      <c r="D42" s="68">
        <v>60000000</v>
      </c>
    </row>
    <row r="43" spans="1:4" ht="26.25" thickBot="1" x14ac:dyDescent="0.3">
      <c r="A43" s="69" t="s">
        <v>86</v>
      </c>
      <c r="B43" s="70"/>
      <c r="C43" s="70"/>
      <c r="D43" s="71">
        <v>250800000</v>
      </c>
    </row>
    <row r="44" spans="1:4" ht="15.75" thickBot="1" x14ac:dyDescent="0.3">
      <c r="A44" s="73" t="s">
        <v>34</v>
      </c>
      <c r="B44" s="219"/>
      <c r="C44" s="220"/>
      <c r="D44" s="74">
        <v>3045554678</v>
      </c>
    </row>
  </sheetData>
  <mergeCells count="6">
    <mergeCell ref="B44:C44"/>
    <mergeCell ref="A1:L1"/>
    <mergeCell ref="A3:I3"/>
    <mergeCell ref="A27:D27"/>
    <mergeCell ref="A35:D35"/>
    <mergeCell ref="A38:D3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workbookViewId="0">
      <selection activeCell="F6" sqref="F6"/>
    </sheetView>
  </sheetViews>
  <sheetFormatPr baseColWidth="10" defaultRowHeight="15" x14ac:dyDescent="0.25"/>
  <sheetData>
    <row r="1" spans="1:12" ht="27.75" x14ac:dyDescent="0.25">
      <c r="A1" s="214" t="s">
        <v>6</v>
      </c>
      <c r="B1" s="214"/>
      <c r="C1" s="214"/>
      <c r="D1" s="214"/>
      <c r="E1" s="214"/>
      <c r="F1" s="214"/>
      <c r="G1" s="214"/>
      <c r="H1" s="214"/>
      <c r="I1" s="214"/>
      <c r="J1" s="214"/>
      <c r="K1" s="214"/>
      <c r="L1" s="214"/>
    </row>
    <row r="3" spans="1:12" ht="40.5" customHeight="1" x14ac:dyDescent="0.25">
      <c r="A3" s="224" t="s">
        <v>7</v>
      </c>
      <c r="B3" s="225"/>
      <c r="C3" s="225"/>
      <c r="D3" s="225"/>
      <c r="E3" s="225"/>
      <c r="F3" s="225"/>
      <c r="G3" s="225"/>
      <c r="H3" s="225"/>
      <c r="I3" s="226"/>
    </row>
  </sheetData>
  <mergeCells count="2">
    <mergeCell ref="A1:L1"/>
    <mergeCell ref="A3:I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opLeftCell="A7" workbookViewId="0">
      <selection activeCell="F10" sqref="F10"/>
    </sheetView>
  </sheetViews>
  <sheetFormatPr baseColWidth="10" defaultRowHeight="15" x14ac:dyDescent="0.25"/>
  <cols>
    <col min="3" max="3" width="11.85546875" bestFit="1" customWidth="1"/>
    <col min="6" max="8" width="14.140625" bestFit="1" customWidth="1"/>
  </cols>
  <sheetData>
    <row r="1" spans="1:12" ht="27.75" x14ac:dyDescent="0.25">
      <c r="A1" s="214" t="s">
        <v>8</v>
      </c>
      <c r="B1" s="214"/>
      <c r="C1" s="214"/>
      <c r="D1" s="214"/>
      <c r="E1" s="214"/>
      <c r="F1" s="214"/>
      <c r="G1" s="214"/>
      <c r="H1" s="214"/>
      <c r="I1" s="214"/>
      <c r="J1" s="214"/>
      <c r="K1" s="214"/>
      <c r="L1" s="214"/>
    </row>
    <row r="3" spans="1:12" ht="67.5" customHeight="1" x14ac:dyDescent="0.25">
      <c r="A3" s="215" t="s">
        <v>9</v>
      </c>
      <c r="B3" s="216"/>
      <c r="C3" s="216"/>
      <c r="D3" s="216"/>
      <c r="E3" s="216"/>
      <c r="F3" s="216"/>
      <c r="G3" s="216"/>
      <c r="H3" s="216"/>
      <c r="I3" s="217"/>
    </row>
    <row r="7" spans="1:12" x14ac:dyDescent="0.25">
      <c r="A7" s="228" t="s">
        <v>32</v>
      </c>
      <c r="B7" s="229" t="s">
        <v>33</v>
      </c>
      <c r="C7" s="228" t="s">
        <v>163</v>
      </c>
      <c r="D7" s="230"/>
      <c r="E7" s="230"/>
      <c r="F7" s="230"/>
    </row>
    <row r="8" spans="1:12" x14ac:dyDescent="0.25">
      <c r="A8" s="228"/>
      <c r="B8" s="229"/>
      <c r="C8" s="228"/>
      <c r="D8" s="53"/>
      <c r="E8" s="53"/>
      <c r="F8" s="218" t="s">
        <v>165</v>
      </c>
      <c r="G8" s="218"/>
      <c r="H8" s="218"/>
    </row>
    <row r="9" spans="1:12" ht="63.75" x14ac:dyDescent="0.25">
      <c r="A9" s="1">
        <v>1</v>
      </c>
      <c r="B9" s="164" t="s">
        <v>164</v>
      </c>
      <c r="C9" s="2">
        <f>9087186759/3898</f>
        <v>2331243.396357106</v>
      </c>
      <c r="D9" s="54"/>
      <c r="E9" s="55"/>
      <c r="F9" s="148" t="s">
        <v>154</v>
      </c>
      <c r="G9" s="148" t="s">
        <v>155</v>
      </c>
      <c r="H9" s="148" t="s">
        <v>156</v>
      </c>
    </row>
    <row r="10" spans="1:12" x14ac:dyDescent="0.25">
      <c r="A10" s="227"/>
      <c r="B10" s="165" t="s">
        <v>34</v>
      </c>
      <c r="C10" s="4">
        <f>SUM(C9:C9)</f>
        <v>2331243.396357106</v>
      </c>
      <c r="D10" s="56"/>
      <c r="E10" s="56"/>
      <c r="F10" s="147">
        <v>3893</v>
      </c>
      <c r="G10" s="167">
        <f>F10+F10*2%</f>
        <v>3970.86</v>
      </c>
      <c r="H10" s="167">
        <f>G10+G10*2%</f>
        <v>4050.2772</v>
      </c>
      <c r="I10" s="162">
        <f>(G10-F10)/G10</f>
        <v>1.9607843137254933E-2</v>
      </c>
      <c r="J10" s="162">
        <f>(H10-G10)/H10</f>
        <v>1.960784313725487E-2</v>
      </c>
    </row>
    <row r="11" spans="1:12" x14ac:dyDescent="0.25">
      <c r="A11" s="227"/>
      <c r="B11" s="165"/>
      <c r="C11" s="3"/>
      <c r="D11" s="57"/>
      <c r="E11" s="57"/>
      <c r="F11" s="218" t="s">
        <v>161</v>
      </c>
      <c r="G11" s="218"/>
      <c r="H11" s="218"/>
    </row>
    <row r="12" spans="1:12" x14ac:dyDescent="0.25">
      <c r="A12" s="5"/>
      <c r="B12" s="5"/>
      <c r="C12" s="5"/>
      <c r="D12" s="6"/>
      <c r="E12" s="6"/>
      <c r="F12" s="148" t="s">
        <v>154</v>
      </c>
      <c r="G12" s="148" t="s">
        <v>155</v>
      </c>
      <c r="H12" s="148" t="s">
        <v>156</v>
      </c>
    </row>
    <row r="13" spans="1:12" x14ac:dyDescent="0.25">
      <c r="A13" s="166"/>
      <c r="B13" s="166"/>
      <c r="C13" s="166"/>
      <c r="D13" s="166"/>
      <c r="E13" s="166"/>
      <c r="F13" s="151"/>
      <c r="G13" s="151">
        <f>F13+F13*I9</f>
        <v>0</v>
      </c>
      <c r="H13" s="151">
        <f>G13+G13*J9</f>
        <v>0</v>
      </c>
    </row>
    <row r="14" spans="1:12" x14ac:dyDescent="0.25">
      <c r="F14" s="218" t="s">
        <v>162</v>
      </c>
      <c r="G14" s="218"/>
      <c r="H14" s="218"/>
    </row>
    <row r="15" spans="1:12" x14ac:dyDescent="0.25">
      <c r="F15" s="148" t="s">
        <v>154</v>
      </c>
      <c r="G15" s="148" t="s">
        <v>155</v>
      </c>
      <c r="H15" s="148" t="s">
        <v>156</v>
      </c>
    </row>
    <row r="16" spans="1:12" x14ac:dyDescent="0.25">
      <c r="F16" s="151">
        <f>F10*C10</f>
        <v>9075530542.0182133</v>
      </c>
      <c r="G16" s="151">
        <f>F16+F16*I10</f>
        <v>9253482121.2734718</v>
      </c>
      <c r="H16" s="151">
        <f>G16+G16*J10</f>
        <v>9434922947.1807938</v>
      </c>
    </row>
  </sheetData>
  <mergeCells count="10">
    <mergeCell ref="F14:H14"/>
    <mergeCell ref="A10:A11"/>
    <mergeCell ref="A1:L1"/>
    <mergeCell ref="A3:I3"/>
    <mergeCell ref="A7:A8"/>
    <mergeCell ref="B7:B8"/>
    <mergeCell ref="C7:C8"/>
    <mergeCell ref="D7:F7"/>
    <mergeCell ref="F8:H8"/>
    <mergeCell ref="F11:H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topLeftCell="A5" workbookViewId="0">
      <selection activeCell="D14" sqref="D14"/>
    </sheetView>
  </sheetViews>
  <sheetFormatPr baseColWidth="10" defaultRowHeight="15" x14ac:dyDescent="0.25"/>
  <cols>
    <col min="1" max="1" width="14.140625" bestFit="1" customWidth="1"/>
    <col min="2" max="2" width="35.28515625" customWidth="1"/>
    <col min="3" max="3" width="17.140625" bestFit="1" customWidth="1"/>
  </cols>
  <sheetData>
    <row r="1" spans="1:12" ht="27.75" x14ac:dyDescent="0.25">
      <c r="A1" s="214" t="s">
        <v>10</v>
      </c>
      <c r="B1" s="214"/>
      <c r="C1" s="214"/>
      <c r="D1" s="214"/>
      <c r="E1" s="214"/>
      <c r="F1" s="214"/>
      <c r="G1" s="214"/>
      <c r="H1" s="214"/>
      <c r="I1" s="214"/>
      <c r="J1" s="214"/>
      <c r="K1" s="214"/>
      <c r="L1" s="214"/>
    </row>
    <row r="4" spans="1:12" ht="15.75" thickBot="1" x14ac:dyDescent="0.3"/>
    <row r="5" spans="1:12" ht="15.75" x14ac:dyDescent="0.25">
      <c r="A5" s="233" t="s">
        <v>218</v>
      </c>
      <c r="B5" s="233"/>
      <c r="C5" s="206">
        <v>46756600</v>
      </c>
      <c r="D5" s="231" t="s">
        <v>219</v>
      </c>
    </row>
    <row r="6" spans="1:12" ht="47.25" customHeight="1" x14ac:dyDescent="0.25">
      <c r="A6" s="234" t="s">
        <v>216</v>
      </c>
      <c r="B6" s="234"/>
      <c r="C6" s="207">
        <v>11030028</v>
      </c>
      <c r="D6" s="232"/>
    </row>
    <row r="8" spans="1:12" x14ac:dyDescent="0.25">
      <c r="A8" s="218" t="s">
        <v>217</v>
      </c>
      <c r="B8" s="218"/>
      <c r="C8" s="218"/>
    </row>
    <row r="9" spans="1:12" x14ac:dyDescent="0.25">
      <c r="A9" s="148" t="s">
        <v>154</v>
      </c>
      <c r="B9" s="148" t="s">
        <v>155</v>
      </c>
      <c r="C9" s="148" t="s">
        <v>156</v>
      </c>
    </row>
    <row r="10" spans="1:12" x14ac:dyDescent="0.25">
      <c r="A10" s="147">
        <v>100</v>
      </c>
      <c r="B10" s="147">
        <f>A10</f>
        <v>100</v>
      </c>
      <c r="C10" s="147">
        <f>B10</f>
        <v>100</v>
      </c>
    </row>
    <row r="11" spans="1:12" x14ac:dyDescent="0.25">
      <c r="A11" s="218" t="s">
        <v>161</v>
      </c>
      <c r="B11" s="218"/>
      <c r="C11" s="218"/>
    </row>
    <row r="12" spans="1:12" x14ac:dyDescent="0.25">
      <c r="A12" s="148" t="s">
        <v>154</v>
      </c>
      <c r="B12" s="148" t="s">
        <v>155</v>
      </c>
      <c r="C12" s="148" t="s">
        <v>156</v>
      </c>
    </row>
    <row r="13" spans="1:12" x14ac:dyDescent="0.25">
      <c r="A13" s="151">
        <f>A10*$C$5</f>
        <v>4675660000</v>
      </c>
      <c r="B13" s="151">
        <f t="shared" ref="B13:C13" si="0">B10*$C$5</f>
        <v>4675660000</v>
      </c>
      <c r="C13" s="151">
        <f t="shared" si="0"/>
        <v>4675660000</v>
      </c>
    </row>
    <row r="15" spans="1:12" x14ac:dyDescent="0.25">
      <c r="A15" s="155"/>
    </row>
  </sheetData>
  <mergeCells count="6">
    <mergeCell ref="A11:C11"/>
    <mergeCell ref="A1:L1"/>
    <mergeCell ref="D5:D6"/>
    <mergeCell ref="A5:B5"/>
    <mergeCell ref="A6:B6"/>
    <mergeCell ref="A8:C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topLeftCell="B1" workbookViewId="0">
      <selection activeCell="H3" sqref="H3:J5"/>
    </sheetView>
  </sheetViews>
  <sheetFormatPr baseColWidth="10" defaultRowHeight="15" x14ac:dyDescent="0.25"/>
  <cols>
    <col min="5" max="5" width="15.42578125" customWidth="1"/>
    <col min="6" max="6" width="22" customWidth="1"/>
    <col min="8" max="8" width="16.85546875" bestFit="1" customWidth="1"/>
    <col min="9" max="10" width="17.85546875" bestFit="1" customWidth="1"/>
  </cols>
  <sheetData>
    <row r="1" spans="1:13" ht="27.75" x14ac:dyDescent="0.25">
      <c r="A1" s="214" t="s">
        <v>11</v>
      </c>
      <c r="B1" s="214"/>
      <c r="C1" s="214"/>
      <c r="D1" s="214"/>
      <c r="E1" s="214"/>
      <c r="F1" s="214"/>
      <c r="G1" s="214"/>
      <c r="H1" s="214"/>
      <c r="I1" s="214"/>
      <c r="J1" s="214"/>
      <c r="K1" s="214"/>
      <c r="L1" s="214"/>
      <c r="M1" s="214"/>
    </row>
    <row r="2" spans="1:13" ht="15.75" thickBot="1" x14ac:dyDescent="0.3"/>
    <row r="3" spans="1:13" ht="15.75" thickBot="1" x14ac:dyDescent="0.3">
      <c r="B3" s="235" t="s">
        <v>87</v>
      </c>
      <c r="C3" s="236"/>
      <c r="D3" s="236"/>
      <c r="E3" s="236"/>
      <c r="F3" s="237"/>
      <c r="H3" s="218" t="s">
        <v>153</v>
      </c>
      <c r="I3" s="218"/>
      <c r="J3" s="218"/>
    </row>
    <row r="4" spans="1:13" x14ac:dyDescent="0.25">
      <c r="B4" s="77" t="s">
        <v>88</v>
      </c>
      <c r="C4" s="78" t="s">
        <v>89</v>
      </c>
      <c r="D4" s="78" t="s">
        <v>90</v>
      </c>
      <c r="E4" s="79" t="s">
        <v>91</v>
      </c>
      <c r="F4" s="80" t="s">
        <v>92</v>
      </c>
      <c r="H4" s="148" t="s">
        <v>154</v>
      </c>
      <c r="I4" s="148" t="s">
        <v>155</v>
      </c>
      <c r="J4" s="148" t="s">
        <v>156</v>
      </c>
    </row>
    <row r="5" spans="1:13" x14ac:dyDescent="0.25">
      <c r="B5" s="81" t="s">
        <v>93</v>
      </c>
      <c r="C5" s="82"/>
      <c r="D5" s="82"/>
      <c r="E5" s="83"/>
      <c r="F5" s="84"/>
      <c r="H5" s="147">
        <v>600</v>
      </c>
      <c r="I5" s="147">
        <v>1000</v>
      </c>
      <c r="J5" s="147">
        <v>1500</v>
      </c>
    </row>
    <row r="6" spans="1:13" ht="51.75" x14ac:dyDescent="0.25">
      <c r="B6" s="85" t="s">
        <v>94</v>
      </c>
      <c r="C6" s="86" t="s">
        <v>95</v>
      </c>
      <c r="D6" s="87">
        <v>5100</v>
      </c>
      <c r="E6" s="88">
        <v>600</v>
      </c>
      <c r="F6" s="89">
        <f>D6*E6</f>
        <v>3060000</v>
      </c>
    </row>
    <row r="7" spans="1:13" ht="39" x14ac:dyDescent="0.25">
      <c r="B7" s="85" t="s">
        <v>96</v>
      </c>
      <c r="C7" s="90" t="s">
        <v>97</v>
      </c>
      <c r="D7" s="90">
        <v>70</v>
      </c>
      <c r="E7" s="88">
        <v>600</v>
      </c>
      <c r="F7" s="89">
        <f>D7*E7</f>
        <v>42000</v>
      </c>
      <c r="H7" s="218" t="s">
        <v>157</v>
      </c>
      <c r="I7" s="218"/>
      <c r="J7" s="218"/>
    </row>
    <row r="8" spans="1:13" ht="128.25" x14ac:dyDescent="0.25">
      <c r="B8" s="85" t="s">
        <v>98</v>
      </c>
      <c r="C8" s="90" t="s">
        <v>97</v>
      </c>
      <c r="D8" s="90">
        <v>4000</v>
      </c>
      <c r="E8" s="91">
        <v>400</v>
      </c>
      <c r="F8" s="89">
        <f>D8*E8</f>
        <v>1600000</v>
      </c>
      <c r="H8" s="148" t="s">
        <v>154</v>
      </c>
      <c r="I8" s="148" t="s">
        <v>155</v>
      </c>
      <c r="J8" s="148" t="s">
        <v>156</v>
      </c>
    </row>
    <row r="9" spans="1:13" ht="26.25" x14ac:dyDescent="0.25">
      <c r="B9" s="85" t="s">
        <v>99</v>
      </c>
      <c r="C9" s="86" t="s">
        <v>100</v>
      </c>
      <c r="D9" s="87">
        <v>5100</v>
      </c>
      <c r="E9" s="88">
        <v>300</v>
      </c>
      <c r="F9" s="92">
        <f>D9*E9</f>
        <v>1530000</v>
      </c>
      <c r="H9" s="151">
        <f>H5*$F27+$F55</f>
        <v>8099999700</v>
      </c>
      <c r="I9" s="151">
        <f t="shared" ref="I9:J9" si="0">I5*$F27+$F55</f>
        <v>13299999500</v>
      </c>
      <c r="J9" s="151">
        <f t="shared" si="0"/>
        <v>19799999250</v>
      </c>
    </row>
    <row r="10" spans="1:13" ht="76.5" x14ac:dyDescent="0.25">
      <c r="B10" s="93" t="s">
        <v>101</v>
      </c>
      <c r="C10" s="90" t="s">
        <v>102</v>
      </c>
      <c r="D10" s="94">
        <v>2</v>
      </c>
      <c r="E10" s="91">
        <v>45000</v>
      </c>
      <c r="F10" s="92">
        <f>D10*E10</f>
        <v>90000</v>
      </c>
    </row>
    <row r="11" spans="1:13" ht="39" x14ac:dyDescent="0.25">
      <c r="B11" s="85" t="s">
        <v>103</v>
      </c>
      <c r="C11" s="90" t="s">
        <v>102</v>
      </c>
      <c r="D11" s="90">
        <v>10</v>
      </c>
      <c r="E11" s="91">
        <f>13000*1.045</f>
        <v>13584.999999999998</v>
      </c>
      <c r="F11" s="89">
        <f t="shared" ref="F11:F13" si="1">D11*E11</f>
        <v>135849.99999999997</v>
      </c>
    </row>
    <row r="12" spans="1:13" ht="51.75" x14ac:dyDescent="0.25">
      <c r="B12" s="95" t="s">
        <v>104</v>
      </c>
      <c r="C12" s="96" t="s">
        <v>102</v>
      </c>
      <c r="D12" s="97">
        <f>6+14</f>
        <v>20</v>
      </c>
      <c r="E12" s="98">
        <f t="shared" ref="E12" si="2">84000</f>
        <v>84000</v>
      </c>
      <c r="F12" s="99">
        <f t="shared" si="1"/>
        <v>1680000</v>
      </c>
    </row>
    <row r="13" spans="1:13" ht="39" x14ac:dyDescent="0.25">
      <c r="B13" s="85" t="s">
        <v>105</v>
      </c>
      <c r="C13" s="86" t="s">
        <v>106</v>
      </c>
      <c r="D13" s="86">
        <v>1</v>
      </c>
      <c r="E13" s="88">
        <v>100000</v>
      </c>
      <c r="F13" s="89">
        <f t="shared" si="1"/>
        <v>100000</v>
      </c>
    </row>
    <row r="14" spans="1:13" ht="26.25" x14ac:dyDescent="0.25">
      <c r="B14" s="85" t="s">
        <v>107</v>
      </c>
      <c r="C14" s="86" t="s">
        <v>106</v>
      </c>
      <c r="D14" s="86">
        <v>1</v>
      </c>
      <c r="E14" s="88">
        <f>SUM(F6:F13)*0.15-28</f>
        <v>1235649.5</v>
      </c>
      <c r="F14" s="89">
        <f>D14*E14</f>
        <v>1235649.5</v>
      </c>
    </row>
    <row r="15" spans="1:13" ht="26.25" x14ac:dyDescent="0.25">
      <c r="B15" s="100" t="s">
        <v>108</v>
      </c>
      <c r="C15" s="86"/>
      <c r="D15" s="86"/>
      <c r="E15" s="88"/>
      <c r="F15" s="84">
        <f>SUM(F6:F14)</f>
        <v>9473499.5</v>
      </c>
    </row>
    <row r="16" spans="1:13" ht="26.25" x14ac:dyDescent="0.25">
      <c r="B16" s="81" t="s">
        <v>109</v>
      </c>
      <c r="C16" s="82"/>
      <c r="D16" s="82"/>
      <c r="E16" s="83"/>
      <c r="F16" s="84"/>
    </row>
    <row r="17" spans="2:10" x14ac:dyDescent="0.25">
      <c r="B17" s="85" t="s">
        <v>110</v>
      </c>
      <c r="C17" s="86" t="s">
        <v>111</v>
      </c>
      <c r="D17" s="86">
        <v>4</v>
      </c>
      <c r="E17" s="88">
        <v>45000</v>
      </c>
      <c r="F17" s="89">
        <f>D17*E17</f>
        <v>180000</v>
      </c>
    </row>
    <row r="18" spans="2:10" ht="51.75" x14ac:dyDescent="0.25">
      <c r="B18" s="85" t="s">
        <v>112</v>
      </c>
      <c r="C18" s="86" t="s">
        <v>113</v>
      </c>
      <c r="D18" s="86">
        <v>4</v>
      </c>
      <c r="E18" s="88">
        <v>30000</v>
      </c>
      <c r="F18" s="89">
        <f t="shared" ref="F18:F25" si="3">D18*E18</f>
        <v>120000</v>
      </c>
    </row>
    <row r="19" spans="2:10" ht="26.25" x14ac:dyDescent="0.25">
      <c r="B19" s="85" t="s">
        <v>114</v>
      </c>
      <c r="C19" s="86" t="s">
        <v>113</v>
      </c>
      <c r="D19" s="86">
        <v>6</v>
      </c>
      <c r="E19" s="88">
        <v>30000</v>
      </c>
      <c r="F19" s="89">
        <f>D19*E19</f>
        <v>180000</v>
      </c>
    </row>
    <row r="20" spans="2:10" ht="26.25" x14ac:dyDescent="0.25">
      <c r="B20" s="85" t="s">
        <v>115</v>
      </c>
      <c r="C20" s="86" t="s">
        <v>113</v>
      </c>
      <c r="D20" s="86">
        <v>9</v>
      </c>
      <c r="E20" s="88">
        <v>30000</v>
      </c>
      <c r="F20" s="89">
        <f t="shared" si="3"/>
        <v>270000</v>
      </c>
    </row>
    <row r="21" spans="2:10" x14ac:dyDescent="0.25">
      <c r="B21" s="85" t="s">
        <v>116</v>
      </c>
      <c r="C21" s="86" t="s">
        <v>113</v>
      </c>
      <c r="D21" s="86">
        <v>17</v>
      </c>
      <c r="E21" s="88">
        <v>30000</v>
      </c>
      <c r="F21" s="89">
        <f t="shared" si="3"/>
        <v>510000</v>
      </c>
    </row>
    <row r="22" spans="2:10" ht="26.25" x14ac:dyDescent="0.25">
      <c r="B22" s="85" t="s">
        <v>117</v>
      </c>
      <c r="C22" s="86" t="s">
        <v>113</v>
      </c>
      <c r="D22" s="86">
        <v>7</v>
      </c>
      <c r="E22" s="88">
        <v>30000</v>
      </c>
      <c r="F22" s="89">
        <f t="shared" si="3"/>
        <v>210000</v>
      </c>
    </row>
    <row r="23" spans="2:10" ht="39" x14ac:dyDescent="0.25">
      <c r="B23" s="85" t="s">
        <v>118</v>
      </c>
      <c r="C23" s="86" t="s">
        <v>113</v>
      </c>
      <c r="D23" s="101">
        <f>15+2.55</f>
        <v>17.55</v>
      </c>
      <c r="E23" s="88">
        <v>30000</v>
      </c>
      <c r="F23" s="89">
        <f>D23*E23</f>
        <v>526500</v>
      </c>
    </row>
    <row r="24" spans="2:10" x14ac:dyDescent="0.25">
      <c r="B24" s="85" t="s">
        <v>119</v>
      </c>
      <c r="C24" s="86" t="s">
        <v>113</v>
      </c>
      <c r="D24" s="86">
        <f>6*3+15</f>
        <v>33</v>
      </c>
      <c r="E24" s="88">
        <v>30000</v>
      </c>
      <c r="F24" s="89">
        <f t="shared" si="3"/>
        <v>990000</v>
      </c>
    </row>
    <row r="25" spans="2:10" x14ac:dyDescent="0.25">
      <c r="B25" s="85" t="s">
        <v>120</v>
      </c>
      <c r="C25" s="86" t="s">
        <v>113</v>
      </c>
      <c r="D25" s="86">
        <f>2*4+10</f>
        <v>18</v>
      </c>
      <c r="E25" s="88">
        <v>30000</v>
      </c>
      <c r="F25" s="89">
        <f t="shared" si="3"/>
        <v>540000</v>
      </c>
    </row>
    <row r="26" spans="2:10" ht="39" x14ac:dyDescent="0.25">
      <c r="B26" s="100" t="s">
        <v>121</v>
      </c>
      <c r="C26" s="86"/>
      <c r="D26" s="86"/>
      <c r="E26" s="88"/>
      <c r="F26" s="84">
        <f>SUM(F17:F25)</f>
        <v>3526500</v>
      </c>
    </row>
    <row r="27" spans="2:10" ht="52.5" thickBot="1" x14ac:dyDescent="0.3">
      <c r="B27" s="102" t="s">
        <v>122</v>
      </c>
      <c r="C27" s="103"/>
      <c r="D27" s="103"/>
      <c r="E27" s="104"/>
      <c r="F27" s="105">
        <f>F15+F26</f>
        <v>12999999.5</v>
      </c>
      <c r="H27" s="150">
        <f>$F27*H5</f>
        <v>7799999700</v>
      </c>
      <c r="I27" s="150">
        <f>$F27*I5</f>
        <v>12999999500</v>
      </c>
      <c r="J27" s="150">
        <f>$F27*J5</f>
        <v>19499999250</v>
      </c>
    </row>
    <row r="28" spans="2:10" x14ac:dyDescent="0.25">
      <c r="B28" s="106" t="s">
        <v>123</v>
      </c>
      <c r="C28" s="107"/>
      <c r="D28" s="107"/>
      <c r="E28" s="107"/>
      <c r="F28" s="107"/>
    </row>
    <row r="29" spans="2:10" ht="15.75" thickBot="1" x14ac:dyDescent="0.3">
      <c r="B29" s="108"/>
      <c r="C29" s="108"/>
      <c r="D29" s="108"/>
      <c r="E29" s="108"/>
      <c r="F29" s="108"/>
    </row>
    <row r="30" spans="2:10" x14ac:dyDescent="0.25">
      <c r="B30" s="109" t="s">
        <v>124</v>
      </c>
      <c r="C30" s="110"/>
      <c r="D30" s="111"/>
      <c r="E30" s="112"/>
      <c r="F30" s="113" t="s">
        <v>125</v>
      </c>
    </row>
    <row r="31" spans="2:10" x14ac:dyDescent="0.25">
      <c r="B31" s="238" t="s">
        <v>126</v>
      </c>
      <c r="C31" s="239"/>
      <c r="D31" s="239"/>
      <c r="E31" s="239"/>
      <c r="F31" s="240"/>
    </row>
    <row r="32" spans="2:10" x14ac:dyDescent="0.25">
      <c r="B32" s="114" t="s">
        <v>127</v>
      </c>
      <c r="C32" s="115" t="s">
        <v>90</v>
      </c>
      <c r="D32" s="115" t="s">
        <v>128</v>
      </c>
      <c r="E32" s="115" t="s">
        <v>129</v>
      </c>
      <c r="F32" s="116" t="s">
        <v>130</v>
      </c>
    </row>
    <row r="33" spans="2:6" x14ac:dyDescent="0.25">
      <c r="B33" s="117" t="s">
        <v>131</v>
      </c>
      <c r="C33" s="118">
        <v>1</v>
      </c>
      <c r="D33" s="119" t="s">
        <v>128</v>
      </c>
      <c r="E33" s="120">
        <v>1320000</v>
      </c>
      <c r="F33" s="121">
        <f t="shared" ref="F33:F41" si="4">C33*E33</f>
        <v>1320000</v>
      </c>
    </row>
    <row r="34" spans="2:6" x14ac:dyDescent="0.25">
      <c r="B34" s="122" t="s">
        <v>132</v>
      </c>
      <c r="C34" s="118">
        <v>4</v>
      </c>
      <c r="D34" s="123" t="s">
        <v>128</v>
      </c>
      <c r="E34" s="124">
        <v>65000</v>
      </c>
      <c r="F34" s="121">
        <f t="shared" si="4"/>
        <v>260000</v>
      </c>
    </row>
    <row r="35" spans="2:6" x14ac:dyDescent="0.25">
      <c r="B35" s="122" t="s">
        <v>133</v>
      </c>
      <c r="C35" s="118">
        <v>1</v>
      </c>
      <c r="D35" s="123" t="s">
        <v>128</v>
      </c>
      <c r="E35" s="124">
        <v>18000</v>
      </c>
      <c r="F35" s="121">
        <f t="shared" si="4"/>
        <v>18000</v>
      </c>
    </row>
    <row r="36" spans="2:6" x14ac:dyDescent="0.25">
      <c r="B36" s="122" t="s">
        <v>134</v>
      </c>
      <c r="C36" s="118">
        <v>1</v>
      </c>
      <c r="D36" s="125" t="s">
        <v>128</v>
      </c>
      <c r="E36" s="124">
        <v>11500</v>
      </c>
      <c r="F36" s="121">
        <f t="shared" si="4"/>
        <v>11500</v>
      </c>
    </row>
    <row r="37" spans="2:6" x14ac:dyDescent="0.25">
      <c r="B37" s="122" t="s">
        <v>135</v>
      </c>
      <c r="C37" s="118">
        <v>2</v>
      </c>
      <c r="D37" s="125" t="s">
        <v>128</v>
      </c>
      <c r="E37" s="124">
        <v>6900</v>
      </c>
      <c r="F37" s="121">
        <f t="shared" si="4"/>
        <v>13800</v>
      </c>
    </row>
    <row r="38" spans="2:6" x14ac:dyDescent="0.25">
      <c r="B38" s="122" t="s">
        <v>136</v>
      </c>
      <c r="C38" s="118">
        <v>1</v>
      </c>
      <c r="D38" s="125" t="s">
        <v>128</v>
      </c>
      <c r="E38" s="124">
        <v>6500</v>
      </c>
      <c r="F38" s="121">
        <f t="shared" si="4"/>
        <v>6500</v>
      </c>
    </row>
    <row r="39" spans="2:6" x14ac:dyDescent="0.25">
      <c r="B39" s="122" t="s">
        <v>137</v>
      </c>
      <c r="C39" s="118">
        <v>3</v>
      </c>
      <c r="D39" s="125" t="s">
        <v>128</v>
      </c>
      <c r="E39" s="124">
        <v>4000</v>
      </c>
      <c r="F39" s="121">
        <f t="shared" si="4"/>
        <v>12000</v>
      </c>
    </row>
    <row r="40" spans="2:6" x14ac:dyDescent="0.25">
      <c r="B40" s="122" t="s">
        <v>138</v>
      </c>
      <c r="C40" s="118">
        <v>1</v>
      </c>
      <c r="D40" s="125" t="s">
        <v>128</v>
      </c>
      <c r="E40" s="124">
        <v>15000</v>
      </c>
      <c r="F40" s="121">
        <f t="shared" si="4"/>
        <v>15000</v>
      </c>
    </row>
    <row r="41" spans="2:6" x14ac:dyDescent="0.25">
      <c r="B41" s="122" t="s">
        <v>139</v>
      </c>
      <c r="C41" s="118">
        <v>350</v>
      </c>
      <c r="D41" s="125" t="s">
        <v>128</v>
      </c>
      <c r="E41" s="124">
        <v>2000</v>
      </c>
      <c r="F41" s="121">
        <f t="shared" si="4"/>
        <v>700000</v>
      </c>
    </row>
    <row r="42" spans="2:6" x14ac:dyDescent="0.25">
      <c r="B42" s="126"/>
      <c r="C42" s="127"/>
      <c r="D42" s="125"/>
      <c r="E42" s="128"/>
      <c r="F42" s="129">
        <f>SUM(F33:F41)</f>
        <v>2356800</v>
      </c>
    </row>
    <row r="43" spans="2:6" ht="25.5" x14ac:dyDescent="0.25">
      <c r="B43" s="130" t="s">
        <v>109</v>
      </c>
      <c r="C43" s="115" t="s">
        <v>90</v>
      </c>
      <c r="D43" s="115" t="s">
        <v>128</v>
      </c>
      <c r="E43" s="131" t="s">
        <v>129</v>
      </c>
      <c r="F43" s="132" t="s">
        <v>130</v>
      </c>
    </row>
    <row r="44" spans="2:6" x14ac:dyDescent="0.25">
      <c r="B44" s="117" t="s">
        <v>140</v>
      </c>
      <c r="C44" s="133">
        <v>26.666666666666668</v>
      </c>
      <c r="D44" s="119" t="s">
        <v>141</v>
      </c>
      <c r="E44" s="120">
        <v>20886</v>
      </c>
      <c r="F44" s="121">
        <f>C44*E44</f>
        <v>556960</v>
      </c>
    </row>
    <row r="45" spans="2:6" ht="15.75" thickBot="1" x14ac:dyDescent="0.3">
      <c r="B45" s="134" t="s">
        <v>142</v>
      </c>
      <c r="C45" s="135"/>
      <c r="D45" s="135"/>
      <c r="E45" s="135"/>
      <c r="F45" s="136">
        <f>+F42+F44</f>
        <v>2913760</v>
      </c>
    </row>
    <row r="46" spans="2:6" x14ac:dyDescent="0.25">
      <c r="B46" s="137"/>
      <c r="C46" s="137"/>
      <c r="D46" s="137"/>
      <c r="E46" s="137"/>
      <c r="F46" s="137"/>
    </row>
    <row r="47" spans="2:6" ht="15.75" thickBot="1" x14ac:dyDescent="0.3">
      <c r="B47" s="138"/>
      <c r="C47" s="107"/>
      <c r="D47" s="107"/>
      <c r="E47" s="107"/>
      <c r="F47" s="107"/>
    </row>
    <row r="48" spans="2:6" x14ac:dyDescent="0.25">
      <c r="B48" s="241" t="s">
        <v>143</v>
      </c>
      <c r="C48" s="242"/>
      <c r="D48" s="242"/>
      <c r="E48" s="242"/>
      <c r="F48" s="243"/>
    </row>
    <row r="49" spans="2:6" x14ac:dyDescent="0.25">
      <c r="B49" s="139" t="s">
        <v>144</v>
      </c>
      <c r="C49" s="140" t="s">
        <v>89</v>
      </c>
      <c r="D49" s="140" t="s">
        <v>67</v>
      </c>
      <c r="E49" s="140" t="s">
        <v>145</v>
      </c>
      <c r="F49" s="141" t="s">
        <v>146</v>
      </c>
    </row>
    <row r="50" spans="2:6" x14ac:dyDescent="0.25">
      <c r="B50" s="142" t="s">
        <v>147</v>
      </c>
      <c r="C50" s="143" t="s">
        <v>80</v>
      </c>
      <c r="D50" s="143">
        <v>12</v>
      </c>
      <c r="E50" s="144">
        <v>7500000</v>
      </c>
      <c r="F50" s="145">
        <f>+D50*E50</f>
        <v>90000000</v>
      </c>
    </row>
    <row r="51" spans="2:6" ht="38.25" x14ac:dyDescent="0.25">
      <c r="B51" s="142" t="s">
        <v>148</v>
      </c>
      <c r="C51" s="143" t="s">
        <v>80</v>
      </c>
      <c r="D51" s="143">
        <v>12</v>
      </c>
      <c r="E51" s="144">
        <v>5500000</v>
      </c>
      <c r="F51" s="145">
        <f>+D51*E51</f>
        <v>66000000</v>
      </c>
    </row>
    <row r="52" spans="2:6" ht="38.25" x14ac:dyDescent="0.25">
      <c r="B52" s="142" t="s">
        <v>149</v>
      </c>
      <c r="C52" s="143" t="s">
        <v>80</v>
      </c>
      <c r="D52" s="143">
        <v>12</v>
      </c>
      <c r="E52" s="144">
        <v>5500000</v>
      </c>
      <c r="F52" s="145">
        <f>+D52*E52</f>
        <v>66000000</v>
      </c>
    </row>
    <row r="53" spans="2:6" ht="25.5" x14ac:dyDescent="0.25">
      <c r="B53" s="142" t="s">
        <v>150</v>
      </c>
      <c r="C53" s="143" t="s">
        <v>80</v>
      </c>
      <c r="D53" s="143">
        <f>12*3</f>
        <v>36</v>
      </c>
      <c r="E53" s="144">
        <v>2000000</v>
      </c>
      <c r="F53" s="145">
        <f>+D53*E53</f>
        <v>72000000</v>
      </c>
    </row>
    <row r="54" spans="2:6" ht="25.5" x14ac:dyDescent="0.25">
      <c r="B54" s="142" t="s">
        <v>151</v>
      </c>
      <c r="C54" s="143" t="s">
        <v>35</v>
      </c>
      <c r="D54" s="143">
        <v>12</v>
      </c>
      <c r="E54" s="144">
        <v>500000</v>
      </c>
      <c r="F54" s="145">
        <f>+D54*E54</f>
        <v>6000000</v>
      </c>
    </row>
    <row r="55" spans="2:6" ht="15.75" thickBot="1" x14ac:dyDescent="0.3">
      <c r="B55" s="244" t="s">
        <v>152</v>
      </c>
      <c r="C55" s="245"/>
      <c r="D55" s="245"/>
      <c r="E55" s="246"/>
      <c r="F55" s="146">
        <f>SUM(F49:F54)</f>
        <v>300000000</v>
      </c>
    </row>
  </sheetData>
  <mergeCells count="7">
    <mergeCell ref="A1:M1"/>
    <mergeCell ref="B3:F3"/>
    <mergeCell ref="B31:F31"/>
    <mergeCell ref="B48:F48"/>
    <mergeCell ref="B55:E55"/>
    <mergeCell ref="H3:J3"/>
    <mergeCell ref="H7:J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topLeftCell="A6" workbookViewId="0">
      <selection activeCell="G5" sqref="G5:I11"/>
    </sheetView>
  </sheetViews>
  <sheetFormatPr baseColWidth="10" defaultRowHeight="15" x14ac:dyDescent="0.25"/>
  <cols>
    <col min="4" max="4" width="13.28515625" bestFit="1" customWidth="1"/>
    <col min="5" max="5" width="12.140625" bestFit="1" customWidth="1"/>
    <col min="7" max="9" width="14.140625" bestFit="1" customWidth="1"/>
  </cols>
  <sheetData>
    <row r="1" spans="1:13" ht="27.75" x14ac:dyDescent="0.25">
      <c r="A1" s="214" t="s">
        <v>12</v>
      </c>
      <c r="B1" s="214"/>
      <c r="C1" s="214"/>
      <c r="D1" s="214"/>
      <c r="E1" s="214"/>
      <c r="F1" s="214"/>
      <c r="G1" s="214"/>
      <c r="H1" s="214"/>
      <c r="I1" s="214"/>
      <c r="J1" s="214"/>
      <c r="K1" s="214"/>
      <c r="L1" s="214"/>
      <c r="M1" s="214"/>
    </row>
    <row r="3" spans="1:13" ht="196.5" hidden="1" customHeight="1" x14ac:dyDescent="0.25">
      <c r="A3" s="247" t="s">
        <v>13</v>
      </c>
      <c r="B3" s="248"/>
      <c r="C3" s="248"/>
      <c r="D3" s="248"/>
      <c r="E3" s="248"/>
      <c r="F3" s="248"/>
      <c r="G3" s="248"/>
      <c r="H3" s="248"/>
      <c r="I3" s="248"/>
      <c r="J3" s="248"/>
      <c r="K3" s="248"/>
      <c r="L3" s="248"/>
      <c r="M3" s="248"/>
    </row>
    <row r="4" spans="1:13" ht="15.75" thickBot="1" x14ac:dyDescent="0.3">
      <c r="A4" t="s">
        <v>158</v>
      </c>
    </row>
    <row r="5" spans="1:13" ht="77.25" thickBot="1" x14ac:dyDescent="0.3">
      <c r="A5" s="58" t="s">
        <v>56</v>
      </c>
      <c r="B5" s="59" t="s">
        <v>57</v>
      </c>
      <c r="C5" s="59" t="s">
        <v>58</v>
      </c>
      <c r="D5" s="58" t="s">
        <v>59</v>
      </c>
      <c r="E5" s="58" t="s">
        <v>160</v>
      </c>
      <c r="F5" s="152"/>
      <c r="G5" s="218" t="s">
        <v>153</v>
      </c>
      <c r="H5" s="218"/>
      <c r="I5" s="218"/>
    </row>
    <row r="6" spans="1:13" ht="51.75" thickBot="1" x14ac:dyDescent="0.3">
      <c r="A6" s="60" t="s">
        <v>60</v>
      </c>
      <c r="B6" s="61">
        <v>25</v>
      </c>
      <c r="C6" s="62">
        <v>1300</v>
      </c>
      <c r="D6" s="154">
        <v>32495</v>
      </c>
      <c r="E6" s="163">
        <f>D13/C13</f>
        <v>171875.99</v>
      </c>
      <c r="F6" s="153"/>
      <c r="G6" s="148" t="s">
        <v>154</v>
      </c>
      <c r="H6" s="148" t="s">
        <v>155</v>
      </c>
      <c r="I6" s="148" t="s">
        <v>156</v>
      </c>
    </row>
    <row r="7" spans="1:13" ht="51.75" thickBot="1" x14ac:dyDescent="0.3">
      <c r="A7" s="60" t="s">
        <v>61</v>
      </c>
      <c r="B7" s="61">
        <v>300</v>
      </c>
      <c r="C7" s="62">
        <v>1300</v>
      </c>
      <c r="D7" s="154">
        <v>389943</v>
      </c>
      <c r="E7" s="163">
        <f t="shared" ref="E7:E9" si="0">D14/C14</f>
        <v>1612301.88</v>
      </c>
      <c r="F7" s="153"/>
      <c r="G7" s="147">
        <v>400</v>
      </c>
      <c r="H7" s="147">
        <v>600</v>
      </c>
      <c r="I7" s="147">
        <v>800</v>
      </c>
      <c r="J7" s="162">
        <f>(H7-G7)/H7</f>
        <v>0.33333333333333331</v>
      </c>
      <c r="K7" s="162">
        <f>(I7-H7)/I7</f>
        <v>0.25</v>
      </c>
    </row>
    <row r="8" spans="1:13" ht="15.75" thickBot="1" x14ac:dyDescent="0.3">
      <c r="A8" s="60" t="s">
        <v>62</v>
      </c>
      <c r="B8" s="61">
        <v>200</v>
      </c>
      <c r="C8" s="62">
        <v>1300</v>
      </c>
      <c r="D8" s="154">
        <v>259962</v>
      </c>
      <c r="E8" s="163">
        <f t="shared" si="0"/>
        <v>1295887.92</v>
      </c>
      <c r="F8" s="153"/>
    </row>
    <row r="9" spans="1:13" ht="20.25" customHeight="1" thickBot="1" x14ac:dyDescent="0.3">
      <c r="A9" s="63" t="s">
        <v>63</v>
      </c>
      <c r="B9" s="61">
        <v>100</v>
      </c>
      <c r="C9" s="61">
        <v>163</v>
      </c>
      <c r="D9" s="154">
        <v>16300</v>
      </c>
      <c r="E9" s="163">
        <f t="shared" si="0"/>
        <v>3909591.05</v>
      </c>
      <c r="F9" s="153"/>
      <c r="G9" s="218" t="s">
        <v>161</v>
      </c>
      <c r="H9" s="218"/>
      <c r="I9" s="218"/>
    </row>
    <row r="10" spans="1:13" x14ac:dyDescent="0.25">
      <c r="E10" s="155">
        <f>SUM(E6:E9)</f>
        <v>6989656.8399999999</v>
      </c>
      <c r="G10" s="148" t="s">
        <v>154</v>
      </c>
      <c r="H10" s="148" t="s">
        <v>155</v>
      </c>
      <c r="I10" s="148" t="s">
        <v>156</v>
      </c>
    </row>
    <row r="11" spans="1:13" ht="15.75" thickBot="1" x14ac:dyDescent="0.3">
      <c r="A11" s="249" t="s">
        <v>159</v>
      </c>
      <c r="B11" s="249"/>
      <c r="C11" s="249"/>
      <c r="D11" s="249"/>
      <c r="G11" s="151">
        <f>D18</f>
        <v>1182993307.9999998</v>
      </c>
      <c r="H11" s="151">
        <f>G11+G11*J7</f>
        <v>1577324410.6666663</v>
      </c>
      <c r="I11" s="151">
        <f>H11+H11*K7</f>
        <v>1971655513.3333328</v>
      </c>
    </row>
    <row r="12" spans="1:13" ht="12.75" customHeight="1" thickBot="1" x14ac:dyDescent="0.3">
      <c r="A12" s="64" t="s">
        <v>65</v>
      </c>
      <c r="B12" s="65" t="s">
        <v>66</v>
      </c>
      <c r="C12" s="65" t="s">
        <v>67</v>
      </c>
      <c r="D12" s="65" t="s">
        <v>68</v>
      </c>
      <c r="G12" s="218" t="s">
        <v>162</v>
      </c>
      <c r="H12" s="218"/>
      <c r="I12" s="218"/>
    </row>
    <row r="13" spans="1:13" ht="15.75" customHeight="1" thickBot="1" x14ac:dyDescent="0.3">
      <c r="A13" s="60" t="s">
        <v>60</v>
      </c>
      <c r="B13" s="61" t="s">
        <v>70</v>
      </c>
      <c r="C13" s="61">
        <v>100</v>
      </c>
      <c r="D13" s="62">
        <v>17187599</v>
      </c>
      <c r="G13" s="148" t="s">
        <v>154</v>
      </c>
      <c r="H13" s="148" t="s">
        <v>155</v>
      </c>
      <c r="I13" s="148" t="s">
        <v>156</v>
      </c>
    </row>
    <row r="14" spans="1:13" ht="51.75" thickBot="1" x14ac:dyDescent="0.3">
      <c r="A14" s="60" t="s">
        <v>61</v>
      </c>
      <c r="B14" s="61" t="s">
        <v>70</v>
      </c>
      <c r="C14" s="61">
        <v>100</v>
      </c>
      <c r="D14" s="62">
        <v>161230188</v>
      </c>
      <c r="G14" s="151">
        <f>D17*30%</f>
        <v>145208287.19999993</v>
      </c>
      <c r="H14" s="151">
        <f>G14+G14*J7</f>
        <v>193611049.5999999</v>
      </c>
      <c r="I14" s="151">
        <f>H14+H14*K7</f>
        <v>242013811.99999988</v>
      </c>
    </row>
    <row r="15" spans="1:13" ht="15.75" thickBot="1" x14ac:dyDescent="0.3">
      <c r="A15" s="60" t="s">
        <v>62</v>
      </c>
      <c r="B15" s="61" t="s">
        <v>70</v>
      </c>
      <c r="C15" s="61">
        <v>100</v>
      </c>
      <c r="D15" s="62">
        <v>129588792</v>
      </c>
    </row>
    <row r="16" spans="1:13" ht="39" thickBot="1" x14ac:dyDescent="0.3">
      <c r="A16" s="60" t="s">
        <v>63</v>
      </c>
      <c r="B16" s="67" t="s">
        <v>70</v>
      </c>
      <c r="C16" s="67">
        <v>100</v>
      </c>
      <c r="D16" s="68">
        <v>390959105</v>
      </c>
      <c r="G16" s="155"/>
    </row>
    <row r="17" spans="1:7" ht="26.25" thickBot="1" x14ac:dyDescent="0.3">
      <c r="A17" s="156" t="s">
        <v>143</v>
      </c>
      <c r="B17" s="159"/>
      <c r="C17" s="159"/>
      <c r="D17" s="160">
        <v>484027623.99999976</v>
      </c>
      <c r="G17" s="150"/>
    </row>
    <row r="18" spans="1:7" ht="15.75" thickBot="1" x14ac:dyDescent="0.3">
      <c r="D18" s="161">
        <f>SUM(D13:D17)</f>
        <v>1182993307.9999998</v>
      </c>
      <c r="G18" s="155"/>
    </row>
  </sheetData>
  <mergeCells count="6">
    <mergeCell ref="G12:I12"/>
    <mergeCell ref="A1:M1"/>
    <mergeCell ref="A3:M3"/>
    <mergeCell ref="G5:I5"/>
    <mergeCell ref="A11:D11"/>
    <mergeCell ref="G9:I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20</vt:i4>
      </vt:variant>
    </vt:vector>
  </HeadingPairs>
  <TitlesOfParts>
    <vt:vector size="20" baseType="lpstr">
      <vt:lpstr>M1</vt:lpstr>
      <vt:lpstr>M2</vt:lpstr>
      <vt:lpstr>M3</vt:lpstr>
      <vt:lpstr>M4</vt:lpstr>
      <vt:lpstr>M5</vt:lpstr>
      <vt:lpstr>M6</vt:lpstr>
      <vt:lpstr>M7</vt:lpstr>
      <vt:lpstr>M8</vt:lpstr>
      <vt:lpstr>M9</vt:lpstr>
      <vt:lpstr>M10</vt:lpstr>
      <vt:lpstr>M11</vt:lpstr>
      <vt:lpstr>M12</vt:lpstr>
      <vt:lpstr>M13</vt:lpstr>
      <vt:lpstr>M14</vt:lpstr>
      <vt:lpstr>M15</vt:lpstr>
      <vt:lpstr>M16</vt:lpstr>
      <vt:lpstr>M17</vt:lpstr>
      <vt:lpstr>M18</vt:lpstr>
      <vt:lpstr>M19</vt:lpstr>
      <vt:lpstr>M20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Teresa</dc:creator>
  <cp:lastModifiedBy>Maria Teresa</cp:lastModifiedBy>
  <dcterms:created xsi:type="dcterms:W3CDTF">2016-11-29T20:56:30Z</dcterms:created>
  <dcterms:modified xsi:type="dcterms:W3CDTF">2016-12-12T04:46:15Z</dcterms:modified>
</cp:coreProperties>
</file>